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0890" activeTab="0"/>
  </bookViews>
  <sheets>
    <sheet name="TEST" sheetId="1" r:id="rId1"/>
    <sheet name="INFOS" sheetId="2" r:id="rId2"/>
    <sheet name="Grille IND" sheetId="3" r:id="rId3"/>
    <sheet name="Fériés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'INFOS'!$A$2:$AU$42</definedName>
    <definedName name="_xlfn.IFERROR" hidden="1">#NAME?</definedName>
    <definedName name="_xlfn.NUMBERVALUE" hidden="1">#NAME?</definedName>
    <definedName name="_xlfn.SUMIFS" hidden="1">#NAME?</definedName>
    <definedName name="AGENTS">'[1]INFOS'!$A$5:$A$42</definedName>
    <definedName name="CODE">'[1]OUTILS'!$F$14:$F$24</definedName>
    <definedName name="Compartiment">'[1]OUTILS'!$F$5:$F$16</definedName>
    <definedName name="Corps">'[1]OUTILS'!$B$5:$B$15</definedName>
    <definedName name="Fériés">'Fériés'!$B$1:$B$27</definedName>
    <definedName name="Grade">'[1]OUTILS'!$C$5:$C$14</definedName>
    <definedName name="horaires">'[1]OUTILS'!$D$5:$D$8</definedName>
    <definedName name="Joursok">'[2]INFO'!$H$3:$H$10</definedName>
    <definedName name="manif">'[1]OUTILS'!$E$15:$E$39</definedName>
    <definedName name="MOIS">#REF!</definedName>
    <definedName name="MOIS16">#REF!</definedName>
    <definedName name="moisok">'[1]OUTILS'!$A$32:$A$43</definedName>
    <definedName name="Sécurité">'[1]OUTILS'!$E$5:$E$12</definedName>
    <definedName name="Situation">'[1]OUTILS'!$A$5:$A$15</definedName>
    <definedName name="statut2016">#REF!</definedName>
    <definedName name="TARIFS">#REF!</definedName>
    <definedName name="tarifs2015">#REF!</definedName>
    <definedName name="TAXE">#REF!</definedName>
    <definedName name="TYPE">#REF!</definedName>
    <definedName name="TYPEok">#REF!</definedName>
    <definedName name="Z_ACC4D6FB_C198_4449_9080_163598B9A656_.wvu.FilterData" localSheetId="1" hidden="1">'INFOS'!$A$3:$H$42</definedName>
    <definedName name="Z_B84213A5_F618_4A1E_A7CD_A45304EB7F79_.wvu.FilterData" localSheetId="1" hidden="1">'INFOS'!$A$3:$H$42</definedName>
    <definedName name="ZONE">#REF!</definedName>
    <definedName name="Zone2">#REF!</definedName>
    <definedName name="zoneok">'[3]INFOS'!$E$5:$E$18</definedName>
  </definedNames>
  <calcPr fullCalcOnLoad="1"/>
</workbook>
</file>

<file path=xl/sharedStrings.xml><?xml version="1.0" encoding="utf-8"?>
<sst xmlns="http://schemas.openxmlformats.org/spreadsheetml/2006/main" count="261" uniqueCount="171">
  <si>
    <t>MOIS</t>
  </si>
  <si>
    <t>ELEMENTS VARIABLES</t>
  </si>
  <si>
    <t xml:space="preserve">PASSAGE EN HS
fin de mois </t>
  </si>
  <si>
    <t>PASSAGE EN HS EN M+1</t>
  </si>
  <si>
    <t>ETAT</t>
  </si>
  <si>
    <t>DATE</t>
  </si>
  <si>
    <t>Heure début</t>
  </si>
  <si>
    <t xml:space="preserve">Heure fin </t>
  </si>
  <si>
    <t>total</t>
  </si>
  <si>
    <t>nombre 
heures N(matin)</t>
  </si>
  <si>
    <t>nombre 
heures N(soir)</t>
  </si>
  <si>
    <t>TOTAL 
heure de N</t>
  </si>
  <si>
    <t>Total en centieme</t>
  </si>
  <si>
    <t>TOTAL 
heure de J</t>
  </si>
  <si>
    <t>OUI</t>
  </si>
  <si>
    <t>NON</t>
  </si>
  <si>
    <t>tarif</t>
  </si>
  <si>
    <t>nombre</t>
  </si>
  <si>
    <t>type de manifestation</t>
  </si>
  <si>
    <t>IAT3 (687)</t>
  </si>
  <si>
    <t>taux</t>
  </si>
  <si>
    <t>Montant</t>
  </si>
  <si>
    <t>HS N</t>
  </si>
  <si>
    <t>HS REFERENCE</t>
  </si>
  <si>
    <t>REF 400</t>
  </si>
  <si>
    <t>ref 401</t>
  </si>
  <si>
    <t>OCTOBRE</t>
  </si>
  <si>
    <t>EN COURS</t>
  </si>
  <si>
    <t>Cérémonie commémorative</t>
  </si>
  <si>
    <t>GLOBAL M</t>
  </si>
  <si>
    <t>NOVEMBRE</t>
  </si>
  <si>
    <t>REPORT M-1</t>
  </si>
  <si>
    <t>REPORT HS M-1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</si>
  <si>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</si>
  <si>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</si>
  <si>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</si>
  <si>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</si>
  <si>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</si>
  <si>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</si>
  <si>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</si>
  <si>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</si>
  <si>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</si>
  <si>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</si>
  <si>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</si>
  <si>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</si>
  <si>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</si>
  <si>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</si>
  <si>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</si>
  <si>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</si>
  <si>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</si>
  <si>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</si>
  <si>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</si>
  <si>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</si>
  <si>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</si>
  <si>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</si>
  <si>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</si>
  <si>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</si>
  <si>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</si>
  <si>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</si>
  <si>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</si>
  <si>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</si>
  <si>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</si>
  <si>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</si>
  <si>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</si>
  <si>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</si>
  <si>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</si>
  <si>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</si>
  <si>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</si>
  <si>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</si>
  <si>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</si>
  <si>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</si>
  <si>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</si>
  <si>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</si>
  <si>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</si>
  <si>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</si>
  <si>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</si>
  <si>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</si>
  <si>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</si>
  <si>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</si>
  <si>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</si>
  <si>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AGENT</t>
  </si>
  <si>
    <t xml:space="preserve">SERVICE  </t>
  </si>
  <si>
    <t>LOCALISATION</t>
  </si>
  <si>
    <t>ENFANTS</t>
  </si>
  <si>
    <t>MOYEN DE TRANSPORT</t>
  </si>
  <si>
    <t>TEMPS DE TRANSPORT</t>
  </si>
  <si>
    <t>CARRIERE</t>
  </si>
  <si>
    <t>NOM-PRENOM</t>
  </si>
  <si>
    <t>SOI</t>
  </si>
  <si>
    <t>DATE DE NAISSANCE</t>
  </si>
  <si>
    <t>AGE</t>
  </si>
  <si>
    <t>SEXE</t>
  </si>
  <si>
    <t>ADRESSE</t>
  </si>
  <si>
    <t>CP</t>
  </si>
  <si>
    <t>VILLE</t>
  </si>
  <si>
    <t>SFT</t>
  </si>
  <si>
    <t>prénom</t>
  </si>
  <si>
    <t>naissance</t>
  </si>
  <si>
    <t>âge</t>
  </si>
  <si>
    <t>MISSIONS</t>
  </si>
  <si>
    <t>ARRIVEE VILLE</t>
  </si>
  <si>
    <t>ARRIVEE MA07</t>
  </si>
  <si>
    <t>ARRIVEE SERVICE</t>
  </si>
  <si>
    <t>DEPART MA07</t>
  </si>
  <si>
    <t>SITUATION</t>
  </si>
  <si>
    <t>RENOUVELLEMENT</t>
  </si>
  <si>
    <t>ECHELON JJ</t>
  </si>
  <si>
    <t>DATE PRISE D'ECH</t>
  </si>
  <si>
    <t>INDICE BRUT</t>
  </si>
  <si>
    <t>TEMPS DE TRAVAIL</t>
  </si>
  <si>
    <t>HORAIRES</t>
  </si>
  <si>
    <t>HANDICAP</t>
  </si>
  <si>
    <t>COMPETENCES SECURITE</t>
  </si>
  <si>
    <t>RÔLE EVACUATION</t>
  </si>
  <si>
    <t>COMPARTIMENT</t>
  </si>
  <si>
    <t>PLAN DE CONTINUITE DES SERVICES</t>
  </si>
  <si>
    <t>COMPTEUR DIF</t>
  </si>
  <si>
    <t>F</t>
  </si>
  <si>
    <t>3, square du Quercy</t>
  </si>
  <si>
    <t>Paris</t>
  </si>
  <si>
    <t>Direction Générale des Services</t>
  </si>
  <si>
    <t>Porte B - Rez-de-chaussée</t>
  </si>
  <si>
    <t>Métro</t>
  </si>
  <si>
    <t>Secrétariat</t>
  </si>
  <si>
    <t>TITULAIRE</t>
  </si>
  <si>
    <t>/</t>
  </si>
  <si>
    <t>Z043</t>
  </si>
  <si>
    <t>Variable</t>
  </si>
  <si>
    <t>Non</t>
  </si>
  <si>
    <t>Service intérieur 2</t>
  </si>
  <si>
    <t>A renseigner</t>
  </si>
  <si>
    <t>Indice brut</t>
  </si>
  <si>
    <t>Indice réel</t>
  </si>
  <si>
    <t>Jusqu'à 14 heures</t>
  </si>
  <si>
    <t>Au-delà de 14 heures</t>
  </si>
  <si>
    <t>Dimanche et jours fériés</t>
  </si>
  <si>
    <t>Nuit</t>
  </si>
  <si>
    <t>Temps Complet</t>
  </si>
  <si>
    <t>Temps Partiel</t>
  </si>
  <si>
    <t xml:space="preserve"> VG3</t>
  </si>
  <si>
    <t>DUPONT Durant</t>
  </si>
  <si>
    <t>Jour de l'An</t>
  </si>
  <si>
    <t>Pâques</t>
  </si>
  <si>
    <t>lundi Pâques</t>
  </si>
  <si>
    <t>Ascension</t>
  </si>
  <si>
    <t>Fête du Travail 1erMai</t>
  </si>
  <si>
    <t>Armistice 1945 8-Mai</t>
  </si>
  <si>
    <t>Pentecôte</t>
  </si>
  <si>
    <t>Lundi de Pentecôte</t>
  </si>
  <si>
    <t>Fêt Nationale 14Juillet</t>
  </si>
  <si>
    <t>Assomption 15Août</t>
  </si>
  <si>
    <t>Toussaint 1erNovembre</t>
  </si>
  <si>
    <t>Armistice 1918 11Novembre</t>
  </si>
  <si>
    <t>Noël</t>
  </si>
  <si>
    <t>B1 se calcule en fonction de la date présente en D3 de l'onglet TEST</t>
  </si>
  <si>
    <t>DECEMBRE</t>
  </si>
  <si>
    <t>JANVIER</t>
  </si>
  <si>
    <t>&lt;=14 (code 400)</t>
  </si>
  <si>
    <t>&gt;=15 (code 401)</t>
  </si>
  <si>
    <t>dimanche J fériés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</si>
  <si>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</si>
  <si>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</si>
  <si>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</si>
  <si>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</si>
  <si>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</si>
  <si>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</si>
  <si>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</si>
  <si>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</si>
  <si>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Quantité Nuit</t>
  </si>
  <si>
    <t>Quantité Jour</t>
  </si>
  <si>
    <t>Les lignes ci-dessous (zone verte) ne sont que le rappel des journées faisant l'objet du repport des HS en M-1 - les heures de la première ligne ne correspondent pas forcément avec celles indiquées en zone à droite (passage à + 25HS mois précédent)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</si>
</sst>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mmm\-yy;@"/>
    <numFmt numFmtId="166" formatCode="#,##0.00\ &quot;€&quot;"/>
    <numFmt numFmtId="167" formatCode="[$-F400]h:mm:ss\ AM/PM"/>
    <numFmt numFmtId="168" formatCode="[$-40C]dddd\ d\ mmmm\ yyyy"/>
    <numFmt numFmtId="169" formatCode="0.0"/>
    <numFmt numFmtId="170" formatCode="0.000"/>
    <numFmt numFmtId="171" formatCode="0.0000"/>
    <numFmt numFmtId="172" formatCode="mmm\-yyyy"/>
    <numFmt numFmtId="173" formatCode="0.000000"/>
    <numFmt numFmtId="174" formatCode="0.00000"/>
    <numFmt numFmtId="175" formatCode="0.0000000"/>
    <numFmt numFmtId="176" formatCode="0.00000000"/>
    <numFmt numFmtId="177" formatCode="[h]:mm"/>
    <numFmt numFmtId="178" formatCode="dddd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C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FE1AA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lightGray">
        <bgColor rgb="FF00B0F0"/>
      </patternFill>
    </fill>
    <fill>
      <patternFill patternType="gray0625">
        <bgColor rgb="FF00B0F0"/>
      </patternFill>
    </fill>
    <fill>
      <patternFill patternType="gray0625">
        <bgColor theme="9" tint="0.39998000860214233"/>
      </patternFill>
    </fill>
    <fill>
      <patternFill patternType="gray0625">
        <bgColor rgb="FFFFFF99"/>
      </patternFill>
    </fill>
    <fill>
      <patternFill patternType="gray0625">
        <bgColor rgb="FF92D050"/>
      </patternFill>
    </fill>
    <fill>
      <patternFill patternType="lightGray">
        <bgColor theme="9" tint="0.39998000860214233"/>
      </patternFill>
    </fill>
    <fill>
      <patternFill patternType="lightGray">
        <bgColor rgb="FFFFFF99"/>
      </patternFill>
    </fill>
    <fill>
      <patternFill patternType="lightGray">
        <bgColor rgb="FF92D050"/>
      </patternFill>
    </fill>
    <fill>
      <patternFill patternType="gray125">
        <fgColor rgb="FFFF0000"/>
        <bgColor rgb="FF99FF99"/>
      </patternFill>
    </fill>
    <fill>
      <patternFill patternType="solid">
        <fgColor rgb="FFFFC000"/>
        <bgColor indexed="64"/>
      </patternFill>
    </fill>
    <fill>
      <patternFill patternType="gray125">
        <bgColor rgb="FFFFFF0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2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0">
    <xf numFmtId="0" fontId="0" fillId="0" borderId="0" xfId="0" applyFont="1" applyAlignment="1">
      <alignment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164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9" fillId="33" borderId="11" xfId="0" applyNumberFormat="1" applyFont="1" applyFill="1" applyBorder="1" applyAlignment="1" applyProtection="1">
      <alignment horizontal="left" vertical="center"/>
      <protection locked="0"/>
    </xf>
    <xf numFmtId="1" fontId="49" fillId="33" borderId="12" xfId="0" applyNumberFormat="1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164" fontId="49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19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19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center" wrapText="1"/>
    </xf>
    <xf numFmtId="0" fontId="0" fillId="36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51" fillId="17" borderId="17" xfId="0" applyFont="1" applyFill="1" applyBorder="1" applyAlignment="1" applyProtection="1">
      <alignment horizontal="center" vertical="center"/>
      <protection/>
    </xf>
    <xf numFmtId="0" fontId="51" fillId="17" borderId="18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49" fontId="53" fillId="37" borderId="19" xfId="0" applyNumberFormat="1" applyFont="1" applyFill="1" applyBorder="1" applyAlignment="1" applyProtection="1">
      <alignment horizontal="center" vertical="center"/>
      <protection/>
    </xf>
    <xf numFmtId="0" fontId="53" fillId="37" borderId="10" xfId="0" applyFont="1" applyFill="1" applyBorder="1" applyAlignment="1" applyProtection="1">
      <alignment horizontal="center" vertical="center" wrapText="1"/>
      <protection/>
    </xf>
    <xf numFmtId="0" fontId="53" fillId="37" borderId="10" xfId="0" applyFont="1" applyFill="1" applyBorder="1" applyAlignment="1" applyProtection="1">
      <alignment horizontal="center" vertical="center"/>
      <protection/>
    </xf>
    <xf numFmtId="0" fontId="24" fillId="37" borderId="10" xfId="0" applyFont="1" applyFill="1" applyBorder="1" applyAlignment="1" applyProtection="1">
      <alignment horizontal="center" vertical="center" wrapText="1"/>
      <protection/>
    </xf>
    <xf numFmtId="3" fontId="53" fillId="37" borderId="10" xfId="0" applyNumberFormat="1" applyFont="1" applyFill="1" applyBorder="1" applyAlignment="1" applyProtection="1">
      <alignment horizontal="center" vertical="center"/>
      <protection/>
    </xf>
    <xf numFmtId="0" fontId="53" fillId="14" borderId="20" xfId="0" applyNumberFormat="1" applyFont="1" applyFill="1" applyBorder="1" applyAlignment="1" applyProtection="1">
      <alignment horizontal="center" vertical="center" wrapText="1"/>
      <protection/>
    </xf>
    <xf numFmtId="14" fontId="53" fillId="14" borderId="20" xfId="0" applyNumberFormat="1" applyFont="1" applyFill="1" applyBorder="1" applyAlignment="1" applyProtection="1">
      <alignment horizontal="center" vertical="center" wrapText="1"/>
      <protection/>
    </xf>
    <xf numFmtId="0" fontId="53" fillId="17" borderId="10" xfId="0" applyFont="1" applyFill="1" applyBorder="1" applyAlignment="1" applyProtection="1">
      <alignment horizontal="center" vertical="center" wrapText="1"/>
      <protection/>
    </xf>
    <xf numFmtId="0" fontId="53" fillId="17" borderId="20" xfId="0" applyFont="1" applyFill="1" applyBorder="1" applyAlignment="1" applyProtection="1">
      <alignment horizontal="center" vertical="center" wrapText="1"/>
      <protection/>
    </xf>
    <xf numFmtId="0" fontId="53" fillId="17" borderId="20" xfId="0" applyFont="1" applyFill="1" applyBorder="1" applyAlignment="1" applyProtection="1">
      <alignment vertical="center" wrapText="1"/>
      <protection/>
    </xf>
    <xf numFmtId="0" fontId="53" fillId="17" borderId="20" xfId="0" applyFont="1" applyFill="1" applyBorder="1" applyAlignment="1" applyProtection="1">
      <alignment horizontal="center" vertical="center" textRotation="90" wrapText="1"/>
      <protection/>
    </xf>
    <xf numFmtId="0" fontId="54" fillId="0" borderId="0" xfId="0" applyFont="1" applyFill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1" fontId="0" fillId="0" borderId="20" xfId="0" applyNumberFormat="1" applyFont="1" applyBorder="1" applyAlignment="1" applyProtection="1">
      <alignment horizontal="center" vertical="center" wrapText="1"/>
      <protection/>
    </xf>
    <xf numFmtId="14" fontId="0" fillId="0" borderId="20" xfId="0" applyNumberFormat="1" applyBorder="1" applyAlignment="1" applyProtection="1">
      <alignment horizontal="center" vertical="center" wrapText="1"/>
      <protection/>
    </xf>
    <xf numFmtId="0" fontId="0" fillId="17" borderId="20" xfId="0" applyNumberForma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 locked="0"/>
    </xf>
    <xf numFmtId="0" fontId="0" fillId="18" borderId="20" xfId="0" applyFill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9" fontId="0" fillId="0" borderId="20" xfId="0" applyNumberFormat="1" applyBorder="1" applyAlignment="1" applyProtection="1" quotePrefix="1">
      <alignment horizontal="center" vertical="center" wrapText="1"/>
      <protection/>
    </xf>
    <xf numFmtId="0" fontId="36" fillId="0" borderId="20" xfId="0" applyNumberFormat="1" applyFont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14" fontId="0" fillId="17" borderId="20" xfId="0" applyNumberFormat="1" applyFill="1" applyBorder="1" applyAlignment="1" applyProtection="1">
      <alignment horizontal="center" vertical="center" wrapText="1"/>
      <protection/>
    </xf>
    <xf numFmtId="0" fontId="0" fillId="17" borderId="20" xfId="0" applyFill="1" applyBorder="1" applyAlignment="1" applyProtection="1">
      <alignment horizontal="center" vertical="center" wrapText="1"/>
      <protection/>
    </xf>
    <xf numFmtId="0" fontId="0" fillId="18" borderId="20" xfId="0" applyFill="1" applyBorder="1" applyAlignment="1" applyProtection="1">
      <alignment vertical="center"/>
      <protection/>
    </xf>
    <xf numFmtId="9" fontId="0" fillId="0" borderId="20" xfId="0" applyNumberFormat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9" fontId="0" fillId="38" borderId="20" xfId="0" applyNumberFormat="1" applyFill="1" applyBorder="1" applyAlignment="1" applyProtection="1" quotePrefix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9" fontId="0" fillId="38" borderId="20" xfId="0" applyNumberFormat="1" applyFill="1" applyBorder="1" applyAlignment="1" applyProtection="1">
      <alignment horizontal="center" vertical="center" wrapText="1"/>
      <protection/>
    </xf>
    <xf numFmtId="14" fontId="36" fillId="0" borderId="20" xfId="0" applyNumberFormat="1" applyFont="1" applyBorder="1" applyAlignment="1" applyProtection="1">
      <alignment horizontal="center" vertical="center" wrapText="1"/>
      <protection/>
    </xf>
    <xf numFmtId="14" fontId="20" fillId="0" borderId="20" xfId="0" applyNumberFormat="1" applyFont="1" applyBorder="1" applyAlignment="1" applyProtection="1">
      <alignment horizontal="center" vertical="center" wrapText="1"/>
      <protection/>
    </xf>
    <xf numFmtId="1" fontId="0" fillId="18" borderId="20" xfId="0" applyNumberFormat="1" applyFill="1" applyBorder="1" applyAlignment="1" applyProtection="1">
      <alignment horizontal="center" vertical="center"/>
      <protection locked="0"/>
    </xf>
    <xf numFmtId="14" fontId="0" fillId="18" borderId="20" xfId="0" applyNumberFormat="1" applyFill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/>
    </xf>
    <xf numFmtId="14" fontId="0" fillId="0" borderId="20" xfId="0" applyNumberForma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9" fillId="0" borderId="0" xfId="0" applyFont="1" applyAlignment="1">
      <alignment horizontal="right" wrapText="1"/>
    </xf>
    <xf numFmtId="2" fontId="49" fillId="0" borderId="0" xfId="0" applyNumberFormat="1" applyFont="1" applyAlignment="1">
      <alignment horizontal="right" wrapText="1"/>
    </xf>
    <xf numFmtId="0" fontId="49" fillId="39" borderId="0" xfId="0" applyFont="1" applyFill="1" applyAlignment="1">
      <alignment wrapText="1"/>
    </xf>
    <xf numFmtId="2" fontId="4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39" borderId="0" xfId="0" applyFill="1" applyAlignment="1">
      <alignment wrapText="1"/>
    </xf>
    <xf numFmtId="0" fontId="0" fillId="0" borderId="0" xfId="0" applyAlignment="1" quotePrefix="1">
      <alignment horizontal="center"/>
    </xf>
    <xf numFmtId="0" fontId="0" fillId="40" borderId="0" xfId="0" applyFill="1" applyAlignment="1">
      <alignment horizontal="center" vertical="center"/>
    </xf>
    <xf numFmtId="2" fontId="0" fillId="34" borderId="0" xfId="0" applyNumberFormat="1" applyFill="1" applyAlignment="1">
      <alignment/>
    </xf>
    <xf numFmtId="2" fontId="0" fillId="19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5" borderId="0" xfId="0" applyNumberFormat="1" applyFill="1" applyAlignment="1">
      <alignment/>
    </xf>
    <xf numFmtId="16" fontId="0" fillId="40" borderId="0" xfId="0" applyNumberFormat="1" applyFill="1" applyAlignment="1">
      <alignment horizontal="left" vertical="center"/>
    </xf>
    <xf numFmtId="14" fontId="0" fillId="40" borderId="0" xfId="0" applyNumberFormat="1" applyFill="1" applyAlignment="1">
      <alignment horizontal="right"/>
    </xf>
    <xf numFmtId="0" fontId="0" fillId="40" borderId="0" xfId="0" applyFill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2" fontId="0" fillId="34" borderId="0" xfId="0" applyNumberFormat="1" applyFill="1" applyAlignment="1">
      <alignment horizontal="right" vertical="center"/>
    </xf>
    <xf numFmtId="2" fontId="0" fillId="19" borderId="0" xfId="0" applyNumberFormat="1" applyFill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5" borderId="0" xfId="0" applyNumberFormat="1" applyFill="1" applyAlignment="1">
      <alignment horizontal="right" vertical="center"/>
    </xf>
    <xf numFmtId="164" fontId="49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0" xfId="0" applyNumberFormat="1" applyFont="1" applyAlignment="1">
      <alignment vertical="center" wrapText="1"/>
    </xf>
    <xf numFmtId="46" fontId="49" fillId="0" borderId="0" xfId="0" applyNumberFormat="1" applyFont="1" applyAlignment="1">
      <alignment horizontal="center" vertical="center"/>
    </xf>
    <xf numFmtId="46" fontId="49" fillId="0" borderId="0" xfId="0" applyNumberFormat="1" applyFont="1" applyAlignment="1">
      <alignment horizontal="center"/>
    </xf>
    <xf numFmtId="46" fontId="49" fillId="0" borderId="0" xfId="0" applyNumberFormat="1" applyFont="1" applyAlignment="1">
      <alignment/>
    </xf>
    <xf numFmtId="46" fontId="49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/>
    </xf>
    <xf numFmtId="2" fontId="49" fillId="17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1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23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46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6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42" borderId="0" xfId="0" applyNumberFormat="1" applyFill="1" applyBorder="1" applyAlignment="1">
      <alignment horizontal="center"/>
    </xf>
    <xf numFmtId="2" fontId="0" fillId="43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46" fontId="0" fillId="2" borderId="0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46" fontId="55" fillId="44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42" borderId="10" xfId="0" applyNumberFormat="1" applyFont="1" applyFill="1" applyBorder="1" applyAlignment="1" applyProtection="1">
      <alignment horizontal="center" vertical="center" wrapText="1"/>
      <protection locked="0"/>
    </xf>
    <xf numFmtId="46" fontId="0" fillId="45" borderId="0" xfId="0" applyNumberFormat="1" applyFill="1" applyBorder="1" applyAlignment="1">
      <alignment horizontal="center"/>
    </xf>
    <xf numFmtId="2" fontId="0" fillId="45" borderId="0" xfId="0" applyNumberFormat="1" applyFill="1" applyBorder="1" applyAlignment="1">
      <alignment horizontal="center"/>
    </xf>
    <xf numFmtId="0" fontId="0" fillId="46" borderId="26" xfId="0" applyNumberFormat="1" applyFill="1" applyBorder="1" applyAlignment="1">
      <alignment horizontal="center"/>
    </xf>
    <xf numFmtId="0" fontId="49" fillId="47" borderId="26" xfId="0" applyFont="1" applyFill="1" applyBorder="1" applyAlignment="1">
      <alignment horizontal="center" vertical="center"/>
    </xf>
    <xf numFmtId="2" fontId="49" fillId="47" borderId="26" xfId="0" applyNumberFormat="1" applyFont="1" applyFill="1" applyBorder="1" applyAlignment="1">
      <alignment horizontal="center"/>
    </xf>
    <xf numFmtId="164" fontId="49" fillId="47" borderId="26" xfId="0" applyNumberFormat="1" applyFont="1" applyFill="1" applyBorder="1" applyAlignment="1">
      <alignment/>
    </xf>
    <xf numFmtId="2" fontId="49" fillId="47" borderId="0" xfId="0" applyNumberFormat="1" applyFont="1" applyFill="1" applyBorder="1" applyAlignment="1">
      <alignment horizontal="center"/>
    </xf>
    <xf numFmtId="0" fontId="49" fillId="47" borderId="0" xfId="0" applyFont="1" applyFill="1" applyBorder="1" applyAlignment="1">
      <alignment vertical="center"/>
    </xf>
    <xf numFmtId="46" fontId="0" fillId="46" borderId="0" xfId="0" applyNumberFormat="1" applyFill="1" applyBorder="1" applyAlignment="1">
      <alignment/>
    </xf>
    <xf numFmtId="2" fontId="0" fillId="46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9" fillId="47" borderId="26" xfId="0" applyFont="1" applyFill="1" applyBorder="1" applyAlignment="1">
      <alignment vertical="center"/>
    </xf>
    <xf numFmtId="164" fontId="0" fillId="45" borderId="0" xfId="0" applyNumberFormat="1" applyFill="1" applyBorder="1" applyAlignment="1">
      <alignment horizontal="left"/>
    </xf>
    <xf numFmtId="2" fontId="49" fillId="46" borderId="26" xfId="0" applyNumberFormat="1" applyFont="1" applyFill="1" applyBorder="1" applyAlignment="1">
      <alignment horizontal="center"/>
    </xf>
    <xf numFmtId="2" fontId="0" fillId="46" borderId="26" xfId="0" applyNumberFormat="1" applyFill="1" applyBorder="1" applyAlignment="1">
      <alignment horizontal="center" vertical="center"/>
    </xf>
    <xf numFmtId="2" fontId="0" fillId="46" borderId="26" xfId="0" applyNumberFormat="1" applyFont="1" applyFill="1" applyBorder="1" applyAlignment="1">
      <alignment horizontal="center"/>
    </xf>
    <xf numFmtId="2" fontId="49" fillId="46" borderId="27" xfId="0" applyNumberFormat="1" applyFont="1" applyFill="1" applyBorder="1" applyAlignment="1">
      <alignment horizontal="center"/>
    </xf>
    <xf numFmtId="2" fontId="20" fillId="45" borderId="0" xfId="0" applyNumberFormat="1" applyFont="1" applyFill="1" applyBorder="1" applyAlignment="1">
      <alignment horizontal="center" vertical="center"/>
    </xf>
    <xf numFmtId="0" fontId="27" fillId="47" borderId="26" xfId="0" applyNumberFormat="1" applyFont="1" applyFill="1" applyBorder="1" applyAlignment="1">
      <alignment horizontal="center"/>
    </xf>
    <xf numFmtId="0" fontId="0" fillId="46" borderId="0" xfId="0" applyNumberFormat="1" applyFill="1" applyBorder="1" applyAlignment="1">
      <alignment horizontal="center"/>
    </xf>
    <xf numFmtId="0" fontId="49" fillId="41" borderId="28" xfId="0" applyFont="1" applyFill="1" applyBorder="1" applyAlignment="1">
      <alignment horizontal="center" vertical="center"/>
    </xf>
    <xf numFmtId="0" fontId="0" fillId="41" borderId="23" xfId="0" applyFill="1" applyBorder="1" applyAlignment="1">
      <alignment/>
    </xf>
    <xf numFmtId="0" fontId="49" fillId="0" borderId="23" xfId="0" applyFont="1" applyBorder="1" applyAlignment="1">
      <alignment horizontal="center"/>
    </xf>
    <xf numFmtId="10" fontId="49" fillId="0" borderId="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9" fillId="41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164" fontId="0" fillId="41" borderId="0" xfId="0" applyNumberFormat="1" applyFill="1" applyAlignment="1">
      <alignment/>
    </xf>
    <xf numFmtId="46" fontId="0" fillId="41" borderId="0" xfId="0" applyNumberFormat="1" applyFill="1" applyAlignment="1">
      <alignment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vertical="center"/>
    </xf>
    <xf numFmtId="2" fontId="0" fillId="41" borderId="0" xfId="0" applyNumberFormat="1" applyFill="1" applyAlignment="1">
      <alignment/>
    </xf>
    <xf numFmtId="0" fontId="0" fillId="41" borderId="0" xfId="0" applyNumberFormat="1" applyFill="1" applyAlignment="1">
      <alignment horizontal="center"/>
    </xf>
    <xf numFmtId="164" fontId="0" fillId="46" borderId="0" xfId="0" applyNumberFormat="1" applyFill="1" applyBorder="1" applyAlignment="1">
      <alignment/>
    </xf>
    <xf numFmtId="0" fontId="0" fillId="46" borderId="0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/>
    </xf>
    <xf numFmtId="0" fontId="0" fillId="41" borderId="18" xfId="0" applyFill="1" applyBorder="1" applyAlignment="1">
      <alignment/>
    </xf>
    <xf numFmtId="0" fontId="0" fillId="0" borderId="0" xfId="0" applyBorder="1" applyAlignment="1">
      <alignment horizontal="center"/>
    </xf>
    <xf numFmtId="165" fontId="49" fillId="41" borderId="12" xfId="0" applyNumberFormat="1" applyFont="1" applyFill="1" applyBorder="1" applyAlignment="1">
      <alignment vertical="center"/>
    </xf>
    <xf numFmtId="0" fontId="49" fillId="41" borderId="29" xfId="0" applyFont="1" applyFill="1" applyBorder="1" applyAlignment="1">
      <alignment horizontal="center" vertical="center"/>
    </xf>
    <xf numFmtId="164" fontId="0" fillId="47" borderId="0" xfId="0" applyNumberFormat="1" applyFill="1" applyBorder="1" applyAlignment="1">
      <alignment/>
    </xf>
    <xf numFmtId="0" fontId="0" fillId="41" borderId="0" xfId="0" applyFill="1" applyAlignment="1">
      <alignment horizontal="center"/>
    </xf>
    <xf numFmtId="0" fontId="49" fillId="47" borderId="26" xfId="0" applyFont="1" applyFill="1" applyBorder="1" applyAlignment="1">
      <alignment horizontal="center"/>
    </xf>
    <xf numFmtId="164" fontId="49" fillId="47" borderId="0" xfId="0" applyNumberFormat="1" applyFont="1" applyFill="1" applyBorder="1" applyAlignment="1">
      <alignment/>
    </xf>
    <xf numFmtId="177" fontId="20" fillId="45" borderId="0" xfId="0" applyNumberFormat="1" applyFont="1" applyFill="1" applyBorder="1" applyAlignment="1">
      <alignment horizontal="center" vertical="center"/>
    </xf>
    <xf numFmtId="177" fontId="49" fillId="46" borderId="26" xfId="0" applyNumberFormat="1" applyFont="1" applyFill="1" applyBorder="1" applyAlignment="1">
      <alignment horizontal="center"/>
    </xf>
    <xf numFmtId="177" fontId="0" fillId="0" borderId="23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43" borderId="0" xfId="0" applyNumberFormat="1" applyFill="1" applyBorder="1" applyAlignment="1">
      <alignment horizontal="center"/>
    </xf>
    <xf numFmtId="177" fontId="49" fillId="47" borderId="26" xfId="0" applyNumberFormat="1" applyFont="1" applyFill="1" applyBorder="1" applyAlignment="1">
      <alignment horizontal="center"/>
    </xf>
    <xf numFmtId="177" fontId="0" fillId="45" borderId="0" xfId="0" applyNumberForma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49" fillId="47" borderId="0" xfId="0" applyNumberFormat="1" applyFont="1" applyFill="1" applyBorder="1" applyAlignment="1">
      <alignment horizontal="center"/>
    </xf>
    <xf numFmtId="177" fontId="20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/>
    </xf>
    <xf numFmtId="177" fontId="20" fillId="0" borderId="0" xfId="0" applyNumberFormat="1" applyFont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2" borderId="0" xfId="0" applyNumberFormat="1" applyFill="1" applyBorder="1" applyAlignment="1">
      <alignment horizontal="center"/>
    </xf>
    <xf numFmtId="177" fontId="0" fillId="2" borderId="0" xfId="0" applyNumberFormat="1" applyFill="1" applyBorder="1" applyAlignment="1">
      <alignment/>
    </xf>
    <xf numFmtId="177" fontId="20" fillId="0" borderId="0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177" fontId="0" fillId="42" borderId="0" xfId="0" applyNumberFormat="1" applyFill="1" applyBorder="1" applyAlignment="1">
      <alignment horizontal="center"/>
    </xf>
    <xf numFmtId="177" fontId="56" fillId="42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1" borderId="0" xfId="0" applyNumberFormat="1" applyFill="1" applyAlignment="1">
      <alignment horizontal="center"/>
    </xf>
    <xf numFmtId="177" fontId="0" fillId="46" borderId="0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57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58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0" fillId="46" borderId="26" xfId="0" applyNumberFormat="1" applyFill="1" applyBorder="1" applyAlignment="1">
      <alignment horizontal="center"/>
    </xf>
    <xf numFmtId="177" fontId="0" fillId="46" borderId="26" xfId="0" applyNumberFormat="1" applyFill="1" applyBorder="1" applyAlignment="1">
      <alignment/>
    </xf>
    <xf numFmtId="177" fontId="49" fillId="47" borderId="26" xfId="0" applyNumberFormat="1" applyFont="1" applyFill="1" applyBorder="1" applyAlignment="1">
      <alignment/>
    </xf>
    <xf numFmtId="177" fontId="49" fillId="47" borderId="0" xfId="0" applyNumberFormat="1" applyFont="1" applyFill="1" applyBorder="1" applyAlignment="1">
      <alignment/>
    </xf>
    <xf numFmtId="177" fontId="0" fillId="41" borderId="0" xfId="0" applyNumberFormat="1" applyFill="1" applyAlignment="1">
      <alignment/>
    </xf>
    <xf numFmtId="177" fontId="0" fillId="46" borderId="0" xfId="0" applyNumberFormat="1" applyFill="1" applyBorder="1" applyAlignment="1">
      <alignment/>
    </xf>
    <xf numFmtId="177" fontId="0" fillId="47" borderId="0" xfId="0" applyNumberFormat="1" applyFill="1" applyBorder="1" applyAlignment="1">
      <alignment horizontal="center"/>
    </xf>
    <xf numFmtId="177" fontId="0" fillId="47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56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48" borderId="0" xfId="0" applyNumberFormat="1" applyFill="1" applyAlignment="1">
      <alignment/>
    </xf>
    <xf numFmtId="2" fontId="59" fillId="49" borderId="0" xfId="0" applyNumberFormat="1" applyFont="1" applyFill="1" applyAlignment="1">
      <alignment/>
    </xf>
    <xf numFmtId="2" fontId="59" fillId="50" borderId="0" xfId="0" applyNumberFormat="1" applyFont="1" applyFill="1" applyAlignment="1">
      <alignment/>
    </xf>
    <xf numFmtId="2" fontId="59" fillId="51" borderId="0" xfId="0" applyNumberFormat="1" applyFont="1" applyFill="1" applyAlignment="1">
      <alignment/>
    </xf>
    <xf numFmtId="2" fontId="59" fillId="52" borderId="0" xfId="0" applyNumberFormat="1" applyFont="1" applyFill="1" applyAlignment="1">
      <alignment/>
    </xf>
    <xf numFmtId="2" fontId="59" fillId="49" borderId="0" xfId="0" applyNumberFormat="1" applyFont="1" applyFill="1" applyAlignment="1">
      <alignment vertical="top"/>
    </xf>
    <xf numFmtId="2" fontId="0" fillId="34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59" fillId="51" borderId="0" xfId="0" applyNumberFormat="1" applyFont="1" applyFill="1" applyAlignment="1">
      <alignment horizontal="center"/>
    </xf>
    <xf numFmtId="2" fontId="59" fillId="50" borderId="0" xfId="0" applyNumberFormat="1" applyFont="1" applyFill="1" applyAlignment="1">
      <alignment vertical="top"/>
    </xf>
    <xf numFmtId="2" fontId="59" fillId="51" borderId="0" xfId="0" applyNumberFormat="1" applyFont="1" applyFill="1" applyAlignment="1">
      <alignment vertical="top"/>
    </xf>
    <xf numFmtId="2" fontId="59" fillId="52" borderId="0" xfId="0" applyNumberFormat="1" applyFont="1" applyFill="1" applyAlignment="1">
      <alignment vertical="top"/>
    </xf>
    <xf numFmtId="2" fontId="0" fillId="53" borderId="0" xfId="0" applyNumberFormat="1" applyFill="1" applyAlignment="1">
      <alignment/>
    </xf>
    <xf numFmtId="2" fontId="0" fillId="54" borderId="0" xfId="0" applyNumberFormat="1" applyFill="1" applyAlignment="1">
      <alignment/>
    </xf>
    <xf numFmtId="2" fontId="0" fillId="55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49" fillId="0" borderId="0" xfId="0" applyNumberFormat="1" applyFont="1" applyFill="1" applyAlignment="1">
      <alignment/>
    </xf>
    <xf numFmtId="2" fontId="27" fillId="47" borderId="20" xfId="0" applyNumberFormat="1" applyFont="1" applyFill="1" applyBorder="1" applyAlignment="1">
      <alignment horizontal="center" vertical="center"/>
    </xf>
    <xf numFmtId="177" fontId="0" fillId="6" borderId="23" xfId="0" applyNumberFormat="1" applyFill="1" applyBorder="1" applyAlignment="1">
      <alignment horizontal="center"/>
    </xf>
    <xf numFmtId="177" fontId="0" fillId="6" borderId="0" xfId="0" applyNumberFormat="1" applyFill="1" applyBorder="1" applyAlignment="1">
      <alignment horizontal="center"/>
    </xf>
    <xf numFmtId="177" fontId="0" fillId="0" borderId="18" xfId="0" applyNumberFormat="1" applyFill="1" applyBorder="1" applyAlignment="1">
      <alignment horizontal="center"/>
    </xf>
    <xf numFmtId="177" fontId="0" fillId="0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49" fillId="41" borderId="0" xfId="0" applyFont="1" applyFill="1" applyBorder="1" applyAlignment="1">
      <alignment vertical="center"/>
    </xf>
    <xf numFmtId="0" fontId="49" fillId="41" borderId="24" xfId="0" applyFont="1" applyFill="1" applyBorder="1" applyAlignment="1">
      <alignment vertical="center"/>
    </xf>
    <xf numFmtId="0" fontId="0" fillId="41" borderId="23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0" xfId="0" applyFill="1" applyBorder="1" applyAlignment="1">
      <alignment/>
    </xf>
    <xf numFmtId="2" fontId="0" fillId="0" borderId="30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46" fontId="49" fillId="56" borderId="12" xfId="0" applyNumberFormat="1" applyFont="1" applyFill="1" applyBorder="1" applyAlignment="1">
      <alignment horizontal="center"/>
    </xf>
    <xf numFmtId="2" fontId="49" fillId="56" borderId="11" xfId="0" applyNumberFormat="1" applyFont="1" applyFill="1" applyBorder="1" applyAlignment="1">
      <alignment horizontal="center"/>
    </xf>
    <xf numFmtId="46" fontId="49" fillId="56" borderId="11" xfId="0" applyNumberFormat="1" applyFont="1" applyFill="1" applyBorder="1" applyAlignment="1">
      <alignment horizontal="center"/>
    </xf>
    <xf numFmtId="0" fontId="49" fillId="56" borderId="31" xfId="0" applyFont="1" applyFill="1" applyBorder="1" applyAlignment="1">
      <alignment horizontal="center"/>
    </xf>
    <xf numFmtId="46" fontId="49" fillId="56" borderId="29" xfId="0" applyNumberFormat="1" applyFont="1" applyFill="1" applyBorder="1" applyAlignment="1">
      <alignment horizontal="center"/>
    </xf>
    <xf numFmtId="46" fontId="49" fillId="56" borderId="0" xfId="0" applyNumberFormat="1" applyFont="1" applyFill="1" applyBorder="1" applyAlignment="1">
      <alignment horizontal="center"/>
    </xf>
    <xf numFmtId="2" fontId="49" fillId="56" borderId="0" xfId="0" applyNumberFormat="1" applyFont="1" applyFill="1" applyBorder="1" applyAlignment="1">
      <alignment horizontal="center"/>
    </xf>
    <xf numFmtId="0" fontId="49" fillId="56" borderId="24" xfId="0" applyFont="1" applyFill="1" applyBorder="1" applyAlignment="1">
      <alignment horizontal="center"/>
    </xf>
    <xf numFmtId="0" fontId="49" fillId="56" borderId="12" xfId="0" applyFont="1" applyFill="1" applyBorder="1" applyAlignment="1">
      <alignment horizontal="center" vertical="center"/>
    </xf>
    <xf numFmtId="0" fontId="49" fillId="56" borderId="11" xfId="0" applyNumberFormat="1" applyFont="1" applyFill="1" applyBorder="1" applyAlignment="1">
      <alignment horizontal="center"/>
    </xf>
    <xf numFmtId="0" fontId="49" fillId="56" borderId="29" xfId="0" applyFont="1" applyFill="1" applyBorder="1" applyAlignment="1">
      <alignment horizontal="center" vertical="center"/>
    </xf>
    <xf numFmtId="2" fontId="49" fillId="56" borderId="0" xfId="0" applyNumberFormat="1" applyFont="1" applyFill="1" applyBorder="1" applyAlignment="1">
      <alignment horizontal="center" vertical="center"/>
    </xf>
    <xf numFmtId="0" fontId="49" fillId="56" borderId="0" xfId="0" applyNumberFormat="1" applyFont="1" applyFill="1" applyBorder="1" applyAlignment="1">
      <alignment horizontal="center"/>
    </xf>
    <xf numFmtId="2" fontId="49" fillId="56" borderId="31" xfId="0" applyNumberFormat="1" applyFont="1" applyFill="1" applyBorder="1" applyAlignment="1">
      <alignment horizontal="center"/>
    </xf>
    <xf numFmtId="2" fontId="49" fillId="56" borderId="24" xfId="0" applyNumberFormat="1" applyFont="1" applyFill="1" applyBorder="1" applyAlignment="1">
      <alignment horizontal="center"/>
    </xf>
    <xf numFmtId="0" fontId="49" fillId="56" borderId="31" xfId="0" applyFont="1" applyFill="1" applyBorder="1" applyAlignment="1">
      <alignment/>
    </xf>
    <xf numFmtId="166" fontId="27" fillId="56" borderId="12" xfId="0" applyNumberFormat="1" applyFont="1" applyFill="1" applyBorder="1" applyAlignment="1">
      <alignment horizontal="center" vertical="center"/>
    </xf>
    <xf numFmtId="2" fontId="27" fillId="56" borderId="11" xfId="0" applyNumberFormat="1" applyFont="1" applyFill="1" applyBorder="1" applyAlignment="1">
      <alignment horizontal="center" vertical="center"/>
    </xf>
    <xf numFmtId="166" fontId="27" fillId="56" borderId="11" xfId="0" applyNumberFormat="1" applyFont="1" applyFill="1" applyBorder="1" applyAlignment="1">
      <alignment horizontal="center" vertical="center"/>
    </xf>
    <xf numFmtId="166" fontId="27" fillId="56" borderId="31" xfId="0" applyNumberFormat="1" applyFont="1" applyFill="1" applyBorder="1" applyAlignment="1">
      <alignment horizontal="center" vertical="center"/>
    </xf>
    <xf numFmtId="166" fontId="27" fillId="56" borderId="29" xfId="0" applyNumberFormat="1" applyFont="1" applyFill="1" applyBorder="1" applyAlignment="1">
      <alignment horizontal="center" vertical="center"/>
    </xf>
    <xf numFmtId="2" fontId="27" fillId="56" borderId="0" xfId="0" applyNumberFormat="1" applyFont="1" applyFill="1" applyBorder="1" applyAlignment="1">
      <alignment horizontal="center" vertical="center"/>
    </xf>
    <xf numFmtId="166" fontId="27" fillId="56" borderId="0" xfId="0" applyNumberFormat="1" applyFont="1" applyFill="1" applyBorder="1" applyAlignment="1">
      <alignment horizontal="center" vertical="center"/>
    </xf>
    <xf numFmtId="166" fontId="27" fillId="56" borderId="24" xfId="0" applyNumberFormat="1" applyFont="1" applyFill="1" applyBorder="1" applyAlignment="1">
      <alignment horizontal="center" vertical="center"/>
    </xf>
    <xf numFmtId="46" fontId="27" fillId="56" borderId="29" xfId="0" applyNumberFormat="1" applyFont="1" applyFill="1" applyBorder="1" applyAlignment="1">
      <alignment horizontal="center" vertical="center"/>
    </xf>
    <xf numFmtId="0" fontId="49" fillId="56" borderId="0" xfId="0" applyNumberFormat="1" applyFont="1" applyFill="1" applyBorder="1" applyAlignment="1">
      <alignment horizontal="center" vertical="center"/>
    </xf>
    <xf numFmtId="2" fontId="49" fillId="56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46" borderId="0" xfId="0" applyNumberFormat="1" applyFill="1" applyBorder="1" applyAlignment="1">
      <alignment/>
    </xf>
    <xf numFmtId="164" fontId="0" fillId="46" borderId="24" xfId="0" applyNumberFormat="1" applyFill="1" applyBorder="1" applyAlignment="1">
      <alignment/>
    </xf>
    <xf numFmtId="0" fontId="0" fillId="46" borderId="0" xfId="0" applyFill="1" applyBorder="1" applyAlignment="1">
      <alignment vertical="center"/>
    </xf>
    <xf numFmtId="0" fontId="0" fillId="46" borderId="24" xfId="0" applyFill="1" applyBorder="1" applyAlignment="1">
      <alignment vertical="center"/>
    </xf>
    <xf numFmtId="46" fontId="49" fillId="46" borderId="0" xfId="0" applyNumberFormat="1" applyFont="1" applyFill="1" applyBorder="1" applyAlignment="1">
      <alignment/>
    </xf>
    <xf numFmtId="177" fontId="49" fillId="46" borderId="0" xfId="0" applyNumberFormat="1" applyFont="1" applyFill="1" applyBorder="1" applyAlignment="1">
      <alignment horizontal="center"/>
    </xf>
    <xf numFmtId="2" fontId="49" fillId="46" borderId="0" xfId="0" applyNumberFormat="1" applyFont="1" applyFill="1" applyBorder="1" applyAlignment="1">
      <alignment horizontal="center"/>
    </xf>
    <xf numFmtId="2" fontId="0" fillId="46" borderId="0" xfId="0" applyNumberFormat="1" applyFill="1" applyBorder="1" applyAlignment="1">
      <alignment horizontal="center" vertical="center"/>
    </xf>
    <xf numFmtId="2" fontId="0" fillId="46" borderId="0" xfId="0" applyNumberFormat="1" applyFont="1" applyFill="1" applyBorder="1" applyAlignment="1">
      <alignment horizontal="center"/>
    </xf>
    <xf numFmtId="2" fontId="49" fillId="46" borderId="24" xfId="0" applyNumberFormat="1" applyFont="1" applyFill="1" applyBorder="1" applyAlignment="1">
      <alignment horizontal="center"/>
    </xf>
    <xf numFmtId="164" fontId="0" fillId="45" borderId="0" xfId="0" applyNumberFormat="1" applyFill="1" applyBorder="1" applyAlignment="1">
      <alignment horizontal="left" vertical="center"/>
    </xf>
    <xf numFmtId="164" fontId="0" fillId="46" borderId="26" xfId="0" applyNumberFormat="1" applyFill="1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10" fontId="49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20" fillId="47" borderId="32" xfId="0" applyNumberFormat="1" applyFont="1" applyFill="1" applyBorder="1" applyAlignment="1">
      <alignment/>
    </xf>
    <xf numFmtId="177" fontId="20" fillId="47" borderId="32" xfId="0" applyNumberFormat="1" applyFont="1" applyFill="1" applyBorder="1" applyAlignment="1">
      <alignment horizontal="center"/>
    </xf>
    <xf numFmtId="177" fontId="20" fillId="47" borderId="32" xfId="0" applyNumberFormat="1" applyFont="1" applyFill="1" applyBorder="1" applyAlignment="1">
      <alignment/>
    </xf>
    <xf numFmtId="46" fontId="20" fillId="47" borderId="32" xfId="0" applyNumberFormat="1" applyFont="1" applyFill="1" applyBorder="1" applyAlignment="1">
      <alignment horizontal="center"/>
    </xf>
    <xf numFmtId="46" fontId="27" fillId="47" borderId="32" xfId="0" applyNumberFormat="1" applyFont="1" applyFill="1" applyBorder="1" applyAlignment="1">
      <alignment horizontal="center"/>
    </xf>
    <xf numFmtId="177" fontId="27" fillId="47" borderId="32" xfId="0" applyNumberFormat="1" applyFont="1" applyFill="1" applyBorder="1" applyAlignment="1">
      <alignment horizontal="center"/>
    </xf>
    <xf numFmtId="2" fontId="27" fillId="47" borderId="32" xfId="0" applyNumberFormat="1" applyFont="1" applyFill="1" applyBorder="1" applyAlignment="1">
      <alignment horizontal="center"/>
    </xf>
    <xf numFmtId="2" fontId="27" fillId="47" borderId="33" xfId="0" applyNumberFormat="1" applyFont="1" applyFill="1" applyBorder="1" applyAlignment="1">
      <alignment horizontal="center" vertical="center"/>
    </xf>
    <xf numFmtId="2" fontId="49" fillId="46" borderId="34" xfId="0" applyNumberFormat="1" applyFont="1" applyFill="1" applyBorder="1" applyAlignment="1">
      <alignment horizontal="center" vertical="center"/>
    </xf>
    <xf numFmtId="2" fontId="49" fillId="46" borderId="35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60" fillId="47" borderId="29" xfId="0" applyFont="1" applyFill="1" applyBorder="1" applyAlignment="1">
      <alignment horizontal="center" vertical="center" textRotation="255"/>
    </xf>
    <xf numFmtId="46" fontId="49" fillId="47" borderId="26" xfId="0" applyNumberFormat="1" applyFont="1" applyFill="1" applyBorder="1" applyAlignment="1">
      <alignment horizontal="center"/>
    </xf>
    <xf numFmtId="2" fontId="27" fillId="47" borderId="20" xfId="0" applyNumberFormat="1" applyFont="1" applyFill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0" fontId="60" fillId="46" borderId="29" xfId="0" applyFont="1" applyFill="1" applyBorder="1" applyAlignment="1">
      <alignment horizontal="center" vertical="center" textRotation="255"/>
    </xf>
    <xf numFmtId="177" fontId="49" fillId="46" borderId="12" xfId="0" applyNumberFormat="1" applyFont="1" applyFill="1" applyBorder="1" applyAlignment="1">
      <alignment horizontal="center" vertical="center" wrapText="1"/>
    </xf>
    <xf numFmtId="177" fontId="49" fillId="46" borderId="11" xfId="0" applyNumberFormat="1" applyFont="1" applyFill="1" applyBorder="1" applyAlignment="1">
      <alignment horizontal="center" vertical="center" wrapText="1"/>
    </xf>
    <xf numFmtId="177" fontId="49" fillId="46" borderId="22" xfId="0" applyNumberFormat="1" applyFont="1" applyFill="1" applyBorder="1" applyAlignment="1">
      <alignment horizontal="center" vertical="center" wrapText="1"/>
    </xf>
    <xf numFmtId="177" fontId="49" fillId="46" borderId="17" xfId="0" applyNumberFormat="1" applyFont="1" applyFill="1" applyBorder="1" applyAlignment="1">
      <alignment horizontal="center" vertical="center" wrapText="1"/>
    </xf>
    <xf numFmtId="177" fontId="49" fillId="46" borderId="18" xfId="0" applyNumberFormat="1" applyFont="1" applyFill="1" applyBorder="1" applyAlignment="1">
      <alignment horizontal="center" vertical="center" wrapText="1"/>
    </xf>
    <xf numFmtId="177" fontId="49" fillId="46" borderId="37" xfId="0" applyNumberFormat="1" applyFont="1" applyFill="1" applyBorder="1" applyAlignment="1">
      <alignment horizontal="center" vertical="center" wrapText="1"/>
    </xf>
    <xf numFmtId="2" fontId="49" fillId="46" borderId="10" xfId="0" applyNumberFormat="1" applyFont="1" applyFill="1" applyBorder="1" applyAlignment="1">
      <alignment horizontal="center" vertical="center"/>
    </xf>
    <xf numFmtId="2" fontId="49" fillId="46" borderId="19" xfId="0" applyNumberFormat="1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46" fontId="49" fillId="4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0" fillId="47" borderId="41" xfId="0" applyFont="1" applyFill="1" applyBorder="1" applyAlignment="1">
      <alignment horizontal="center" vertical="center" textRotation="255"/>
    </xf>
    <xf numFmtId="0" fontId="60" fillId="46" borderId="29" xfId="0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wrapText="1"/>
    </xf>
    <xf numFmtId="46" fontId="49" fillId="46" borderId="26" xfId="0" applyNumberFormat="1" applyFont="1" applyFill="1" applyBorder="1" applyAlignment="1">
      <alignment horizontal="center"/>
    </xf>
    <xf numFmtId="1" fontId="49" fillId="35" borderId="23" xfId="0" applyNumberFormat="1" applyFont="1" applyFill="1" applyBorder="1" applyAlignment="1" applyProtection="1">
      <alignment horizontal="center" vertical="center"/>
      <protection locked="0"/>
    </xf>
    <xf numFmtId="1" fontId="49" fillId="35" borderId="25" xfId="0" applyNumberFormat="1" applyFont="1" applyFill="1" applyBorder="1" applyAlignment="1" applyProtection="1">
      <alignment horizontal="center" vertical="center"/>
      <protection locked="0"/>
    </xf>
    <xf numFmtId="46" fontId="49" fillId="0" borderId="29" xfId="0" applyNumberFormat="1" applyFont="1" applyBorder="1" applyAlignment="1">
      <alignment horizontal="center" vertical="center" wrapText="1"/>
    </xf>
    <xf numFmtId="46" fontId="49" fillId="0" borderId="0" xfId="0" applyNumberFormat="1" applyFont="1" applyAlignment="1">
      <alignment horizontal="center" vertical="center" wrapText="1"/>
    </xf>
    <xf numFmtId="0" fontId="49" fillId="47" borderId="29" xfId="0" applyFont="1" applyFill="1" applyBorder="1" applyAlignment="1">
      <alignment horizontal="center" vertical="center" textRotation="255"/>
    </xf>
    <xf numFmtId="1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19" borderId="42" xfId="0" applyNumberFormat="1" applyFont="1" applyFill="1" applyBorder="1" applyAlignment="1" applyProtection="1">
      <alignment horizontal="center" vertical="center" wrapText="1"/>
      <protection locked="0"/>
    </xf>
    <xf numFmtId="1" fontId="49" fillId="19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49" fontId="51" fillId="37" borderId="29" xfId="0" applyNumberFormat="1" applyFont="1" applyFill="1" applyBorder="1" applyAlignment="1" applyProtection="1">
      <alignment horizontal="center" vertical="center"/>
      <protection/>
    </xf>
    <xf numFmtId="49" fontId="51" fillId="37" borderId="0" xfId="0" applyNumberFormat="1" applyFont="1" applyFill="1" applyBorder="1" applyAlignment="1" applyProtection="1">
      <alignment horizontal="center" vertical="center"/>
      <protection/>
    </xf>
    <xf numFmtId="49" fontId="51" fillId="37" borderId="36" xfId="0" applyNumberFormat="1" applyFont="1" applyFill="1" applyBorder="1" applyAlignment="1" applyProtection="1">
      <alignment horizontal="center" vertical="center"/>
      <protection/>
    </xf>
    <xf numFmtId="0" fontId="61" fillId="44" borderId="10" xfId="0" applyFont="1" applyFill="1" applyBorder="1" applyAlignment="1" applyProtection="1">
      <alignment horizontal="center" vertical="center" wrapText="1"/>
      <protection/>
    </xf>
    <xf numFmtId="0" fontId="61" fillId="44" borderId="19" xfId="0" applyFont="1" applyFill="1" applyBorder="1" applyAlignment="1" applyProtection="1">
      <alignment horizontal="center" vertical="center" wrapText="1"/>
      <protection/>
    </xf>
    <xf numFmtId="0" fontId="51" fillId="14" borderId="21" xfId="0" applyFont="1" applyFill="1" applyBorder="1" applyAlignment="1" applyProtection="1">
      <alignment horizontal="center" vertical="center" wrapText="1"/>
      <protection/>
    </xf>
    <xf numFmtId="0" fontId="52" fillId="14" borderId="16" xfId="0" applyFont="1" applyFill="1" applyBorder="1" applyAlignment="1">
      <alignment/>
    </xf>
    <xf numFmtId="0" fontId="52" fillId="14" borderId="43" xfId="0" applyFont="1" applyFill="1" applyBorder="1" applyAlignment="1">
      <alignment/>
    </xf>
    <xf numFmtId="0" fontId="49" fillId="8" borderId="10" xfId="0" applyFont="1" applyFill="1" applyBorder="1" applyAlignment="1" applyProtection="1">
      <alignment horizontal="center" vertical="center" wrapText="1"/>
      <protection/>
    </xf>
    <xf numFmtId="0" fontId="49" fillId="8" borderId="19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1" fontId="49" fillId="57" borderId="20" xfId="0" applyNumberFormat="1" applyFont="1" applyFill="1" applyBorder="1" applyAlignment="1" applyProtection="1">
      <alignment horizontal="center" vertical="center" wrapText="1"/>
      <protection locked="0"/>
    </xf>
    <xf numFmtId="2" fontId="49" fillId="57" borderId="20" xfId="0" applyNumberFormat="1" applyFont="1" applyFill="1" applyBorder="1" applyAlignment="1" applyProtection="1">
      <alignment horizontal="center" vertical="center" wrapText="1"/>
      <protection locked="0"/>
    </xf>
    <xf numFmtId="0" fontId="49" fillId="36" borderId="20" xfId="0" applyNumberFormat="1" applyFont="1" applyFill="1" applyBorder="1" applyAlignment="1" applyProtection="1">
      <alignment horizontal="center" vertical="center" wrapText="1"/>
      <protection locked="0"/>
    </xf>
    <xf numFmtId="177" fontId="49" fillId="33" borderId="21" xfId="0" applyNumberFormat="1" applyFont="1" applyFill="1" applyBorder="1" applyAlignment="1" applyProtection="1">
      <alignment horizontal="center" vertical="center" wrapText="1"/>
      <protection locked="0"/>
    </xf>
    <xf numFmtId="177" fontId="49" fillId="33" borderId="16" xfId="0" applyNumberFormat="1" applyFont="1" applyFill="1" applyBorder="1" applyAlignment="1" applyProtection="1">
      <alignment horizontal="center" vertical="center"/>
      <protection locked="0"/>
    </xf>
    <xf numFmtId="177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46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49" fillId="33" borderId="16" xfId="0" applyNumberFormat="1" applyFont="1" applyFill="1" applyBorder="1" applyAlignment="1" applyProtection="1">
      <alignment horizontal="center" vertical="center" wrapText="1"/>
      <protection locked="0"/>
    </xf>
    <xf numFmtId="46" fontId="49" fillId="57" borderId="19" xfId="0" applyNumberFormat="1" applyFont="1" applyFill="1" applyBorder="1" applyAlignment="1" applyProtection="1">
      <alignment horizontal="center" vertical="center" wrapText="1"/>
      <protection locked="0"/>
    </xf>
    <xf numFmtId="46" fontId="49" fillId="36" borderId="19" xfId="0" applyNumberFormat="1" applyFont="1" applyFill="1" applyBorder="1" applyAlignment="1" applyProtection="1">
      <alignment horizontal="center" vertical="center" wrapText="1"/>
      <protection locked="0"/>
    </xf>
    <xf numFmtId="46" fontId="49" fillId="36" borderId="35" xfId="0" applyNumberFormat="1" applyFont="1" applyFill="1" applyBorder="1" applyAlignment="1" applyProtection="1">
      <alignment horizontal="center" vertical="center" wrapText="1"/>
      <protection locked="0"/>
    </xf>
    <xf numFmtId="1" fontId="49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58" borderId="0" xfId="0" applyFill="1" applyAlignment="1">
      <alignment horizontal="center" vertical="center"/>
    </xf>
    <xf numFmtId="164" fontId="0" fillId="45" borderId="23" xfId="0" applyNumberFormat="1" applyFill="1" applyBorder="1" applyAlignment="1">
      <alignment horizontal="left" vertical="center" wrapText="1"/>
    </xf>
    <xf numFmtId="164" fontId="0" fillId="45" borderId="45" xfId="0" applyNumberFormat="1" applyFill="1" applyBorder="1" applyAlignment="1">
      <alignment horizontal="left" vertical="center" wrapText="1"/>
    </xf>
    <xf numFmtId="164" fontId="0" fillId="45" borderId="0" xfId="0" applyNumberFormat="1" applyFill="1" applyBorder="1" applyAlignment="1">
      <alignment horizontal="left" vertical="center" wrapText="1"/>
    </xf>
    <xf numFmtId="164" fontId="0" fillId="45" borderId="36" xfId="0" applyNumberFormat="1" applyFill="1" applyBorder="1" applyAlignment="1">
      <alignment horizontal="left" vertical="center" wrapText="1"/>
    </xf>
    <xf numFmtId="164" fontId="49" fillId="45" borderId="0" xfId="0" applyNumberFormat="1" applyFont="1" applyFill="1" applyBorder="1" applyAlignment="1">
      <alignment horizontal="left" vertical="center" wrapText="1"/>
    </xf>
    <xf numFmtId="164" fontId="49" fillId="45" borderId="36" xfId="0" applyNumberFormat="1" applyFont="1" applyFill="1" applyBorder="1" applyAlignment="1">
      <alignment horizontal="left" vertical="center" wrapText="1"/>
    </xf>
    <xf numFmtId="164" fontId="62" fillId="45" borderId="0" xfId="0" applyNumberFormat="1" applyFont="1" applyFill="1" applyBorder="1" applyAlignment="1">
      <alignment horizontal="left" vertical="center" wrapText="1"/>
    </xf>
    <xf numFmtId="164" fontId="62" fillId="45" borderId="23" xfId="0" applyNumberFormat="1" applyFont="1" applyFill="1" applyBorder="1" applyAlignment="1">
      <alignment horizontal="left" vertical="center" wrapText="1"/>
    </xf>
    <xf numFmtId="164" fontId="49" fillId="45" borderId="18" xfId="0" applyNumberFormat="1" applyFont="1" applyFill="1" applyBorder="1" applyAlignment="1">
      <alignment horizontal="left" vertical="center" wrapText="1"/>
    </xf>
    <xf numFmtId="164" fontId="49" fillId="45" borderId="37" xfId="0" applyNumberFormat="1" applyFont="1" applyFill="1" applyBorder="1" applyAlignment="1">
      <alignment horizontal="left" vertical="center" wrapText="1"/>
    </xf>
    <xf numFmtId="164" fontId="0" fillId="45" borderId="18" xfId="0" applyNumberFormat="1" applyFill="1" applyBorder="1" applyAlignment="1">
      <alignment horizontal="left" vertical="center" wrapText="1"/>
    </xf>
    <xf numFmtId="164" fontId="0" fillId="45" borderId="37" xfId="0" applyNumberForma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6"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25A2FF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25A2FF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9525</xdr:rowOff>
    </xdr:from>
    <xdr:to>
      <xdr:col>3</xdr:col>
      <xdr:colOff>1714500</xdr:colOff>
      <xdr:row>15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619375" y="1028700"/>
          <a:ext cx="1790700" cy="2562225"/>
        </a:xfrm>
        <a:prstGeom prst="rect">
          <a:avLst/>
        </a:prstGeom>
        <a:solidFill>
          <a:srgbClr val="E6E0EC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 pour 12 mois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détail pourtant pour le premier mois il faudra peut-être une zone pour le report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HS de décembre de l'année précédente à moins de comptabiliser toutes les HS de décembre sans tenir compte des +/- 25 HS (exercice comptable) Dans ce cas il faut modifier les formules concernant décembre</a:t>
          </a:r>
        </a:p>
      </xdr:txBody>
    </xdr:sp>
    <xdr:clientData/>
  </xdr:twoCellAnchor>
  <xdr:twoCellAnchor>
    <xdr:from>
      <xdr:col>14</xdr:col>
      <xdr:colOff>285750</xdr:colOff>
      <xdr:row>9</xdr:row>
      <xdr:rowOff>85725</xdr:rowOff>
    </xdr:from>
    <xdr:to>
      <xdr:col>17</xdr:col>
      <xdr:colOff>533400</xdr:colOff>
      <xdr:row>15</xdr:row>
      <xdr:rowOff>95250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1534775" y="2438400"/>
          <a:ext cx="1905000" cy="1152525"/>
        </a:xfrm>
        <a:prstGeom prst="rect">
          <a:avLst/>
        </a:prstGeom>
        <a:solidFill>
          <a:srgbClr val="E6E0EC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Tabeau passage en HS fin de mois et HS en M+1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Ajout d'une colonne pour comptabiliser séparément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heures de jour et de nuit</a:t>
          </a:r>
        </a:p>
      </xdr:txBody>
    </xdr:sp>
    <xdr:clientData/>
  </xdr:twoCellAnchor>
  <xdr:twoCellAnchor>
    <xdr:from>
      <xdr:col>6</xdr:col>
      <xdr:colOff>190500</xdr:colOff>
      <xdr:row>21</xdr:row>
      <xdr:rowOff>57150</xdr:rowOff>
    </xdr:from>
    <xdr:to>
      <xdr:col>12</xdr:col>
      <xdr:colOff>571500</xdr:colOff>
      <xdr:row>25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343650" y="4752975"/>
          <a:ext cx="4362450" cy="800100"/>
        </a:xfrm>
        <a:prstGeom prst="rect">
          <a:avLst/>
        </a:prstGeom>
        <a:solidFill>
          <a:srgbClr val="E6E0EC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verte mouchetée rouge ci-contre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 des heures inscrites sur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colonnes "R" et "S" du mois précédent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"O" en colonne "N" s'affiche automatiquement</a:t>
          </a:r>
        </a:p>
      </xdr:txBody>
    </xdr:sp>
    <xdr:clientData/>
  </xdr:twoCellAnchor>
  <xdr:twoCellAnchor>
    <xdr:from>
      <xdr:col>21</xdr:col>
      <xdr:colOff>390525</xdr:colOff>
      <xdr:row>8</xdr:row>
      <xdr:rowOff>104775</xdr:rowOff>
    </xdr:from>
    <xdr:to>
      <xdr:col>28</xdr:col>
      <xdr:colOff>161925</xdr:colOff>
      <xdr:row>13</xdr:row>
      <xdr:rowOff>123825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4763750" y="2266950"/>
          <a:ext cx="3933825" cy="971550"/>
        </a:xfrm>
        <a:prstGeom prst="rect">
          <a:avLst/>
        </a:prstGeom>
        <a:solidFill>
          <a:srgbClr val="B7DEE8"/>
        </a:solidFill>
        <a:ln w="381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ces tableaux j'ai modifié les formules pour ne voir que les nombre positifs  // Le tarif horaire n'apparaît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sur ces lignes là.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total (tarif * nombre) est effectué par une SOMMEPROD()</a:t>
          </a:r>
        </a:p>
      </xdr:txBody>
    </xdr:sp>
    <xdr:clientData/>
  </xdr:twoCellAnchor>
  <xdr:twoCellAnchor>
    <xdr:from>
      <xdr:col>23</xdr:col>
      <xdr:colOff>371475</xdr:colOff>
      <xdr:row>21</xdr:row>
      <xdr:rowOff>114300</xdr:rowOff>
    </xdr:from>
    <xdr:to>
      <xdr:col>28</xdr:col>
      <xdr:colOff>476250</xdr:colOff>
      <xdr:row>24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15935325" y="4810125"/>
          <a:ext cx="3076575" cy="619125"/>
        </a:xfrm>
        <a:prstGeom prst="rect">
          <a:avLst/>
        </a:prstGeom>
        <a:solidFill>
          <a:srgbClr val="93CDDD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partie comptabilise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HS présentes en colonnes "O" &amp; "P" et non en colonnes "K" &amp; "M" sinon certaine heures seraient payées en double</a:t>
          </a:r>
        </a:p>
      </xdr:txBody>
    </xdr:sp>
    <xdr:clientData/>
  </xdr:twoCellAnchor>
  <xdr:twoCellAnchor>
    <xdr:from>
      <xdr:col>6</xdr:col>
      <xdr:colOff>485775</xdr:colOff>
      <xdr:row>0</xdr:row>
      <xdr:rowOff>247650</xdr:rowOff>
    </xdr:from>
    <xdr:to>
      <xdr:col>11</xdr:col>
      <xdr:colOff>590550</xdr:colOff>
      <xdr:row>1</xdr:row>
      <xdr:rowOff>400050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6638925" y="247650"/>
          <a:ext cx="3295650" cy="70485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supprimer les zéros intempestifs j'ai décoché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"Afficher un zéro dans les cellules qui ont une valeur nulle" dans les options avancées de ce feuillet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pic>
      <xdr:nvPicPr>
        <xdr:cNvPr id="1" name="Picture 3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810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3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0</xdr:colOff>
      <xdr:row>5</xdr:row>
      <xdr:rowOff>9525</xdr:rowOff>
    </xdr:to>
    <xdr:pic>
      <xdr:nvPicPr>
        <xdr:cNvPr id="3" name="Picture 3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" name="Picture 3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" name="Picture 3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6" name="Picture 3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5</xdr:col>
      <xdr:colOff>0</xdr:colOff>
      <xdr:row>13</xdr:row>
      <xdr:rowOff>9525</xdr:rowOff>
    </xdr:to>
    <xdr:pic>
      <xdr:nvPicPr>
        <xdr:cNvPr id="7" name="Picture 3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5</xdr:col>
      <xdr:colOff>0</xdr:colOff>
      <xdr:row>15</xdr:row>
      <xdr:rowOff>9525</xdr:rowOff>
    </xdr:to>
    <xdr:pic>
      <xdr:nvPicPr>
        <xdr:cNvPr id="8" name="Picture 3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" name="Picture 3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19</xdr:row>
      <xdr:rowOff>9525</xdr:rowOff>
    </xdr:to>
    <xdr:pic>
      <xdr:nvPicPr>
        <xdr:cNvPr id="10" name="Picture 3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0</xdr:colOff>
      <xdr:row>21</xdr:row>
      <xdr:rowOff>9525</xdr:rowOff>
    </xdr:to>
    <xdr:pic>
      <xdr:nvPicPr>
        <xdr:cNvPr id="11" name="Picture 3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0</xdr:colOff>
      <xdr:row>23</xdr:row>
      <xdr:rowOff>9525</xdr:rowOff>
    </xdr:to>
    <xdr:pic>
      <xdr:nvPicPr>
        <xdr:cNvPr id="12" name="Picture 3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0</xdr:colOff>
      <xdr:row>25</xdr:row>
      <xdr:rowOff>9525</xdr:rowOff>
    </xdr:to>
    <xdr:pic>
      <xdr:nvPicPr>
        <xdr:cNvPr id="13" name="Picture 3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0</xdr:colOff>
      <xdr:row>27</xdr:row>
      <xdr:rowOff>9525</xdr:rowOff>
    </xdr:to>
    <xdr:pic>
      <xdr:nvPicPr>
        <xdr:cNvPr id="14" name="Picture 3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0</xdr:colOff>
      <xdr:row>29</xdr:row>
      <xdr:rowOff>9525</xdr:rowOff>
    </xdr:to>
    <xdr:pic>
      <xdr:nvPicPr>
        <xdr:cNvPr id="15" name="Picture 3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pic>
      <xdr:nvPicPr>
        <xdr:cNvPr id="16" name="Picture 3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0</xdr:colOff>
      <xdr:row>33</xdr:row>
      <xdr:rowOff>9525</xdr:rowOff>
    </xdr:to>
    <xdr:pic>
      <xdr:nvPicPr>
        <xdr:cNvPr id="17" name="Picture 3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0</xdr:colOff>
      <xdr:row>35</xdr:row>
      <xdr:rowOff>9525</xdr:rowOff>
    </xdr:to>
    <xdr:pic>
      <xdr:nvPicPr>
        <xdr:cNvPr id="18" name="Picture 3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0</xdr:colOff>
      <xdr:row>37</xdr:row>
      <xdr:rowOff>9525</xdr:rowOff>
    </xdr:to>
    <xdr:pic>
      <xdr:nvPicPr>
        <xdr:cNvPr id="19" name="Picture 3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5</xdr:col>
      <xdr:colOff>0</xdr:colOff>
      <xdr:row>39</xdr:row>
      <xdr:rowOff>9525</xdr:rowOff>
    </xdr:to>
    <xdr:pic>
      <xdr:nvPicPr>
        <xdr:cNvPr id="20" name="Picture 3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5</xdr:col>
      <xdr:colOff>0</xdr:colOff>
      <xdr:row>41</xdr:row>
      <xdr:rowOff>9525</xdr:rowOff>
    </xdr:to>
    <xdr:pic>
      <xdr:nvPicPr>
        <xdr:cNvPr id="21" name="Picture 3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5</xdr:col>
      <xdr:colOff>0</xdr:colOff>
      <xdr:row>43</xdr:row>
      <xdr:rowOff>9525</xdr:rowOff>
    </xdr:to>
    <xdr:pic>
      <xdr:nvPicPr>
        <xdr:cNvPr id="22" name="Picture 3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5</xdr:col>
      <xdr:colOff>0</xdr:colOff>
      <xdr:row>45</xdr:row>
      <xdr:rowOff>9525</xdr:rowOff>
    </xdr:to>
    <xdr:pic>
      <xdr:nvPicPr>
        <xdr:cNvPr id="23" name="Picture 3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5</xdr:col>
      <xdr:colOff>0</xdr:colOff>
      <xdr:row>47</xdr:row>
      <xdr:rowOff>9525</xdr:rowOff>
    </xdr:to>
    <xdr:pic>
      <xdr:nvPicPr>
        <xdr:cNvPr id="24" name="Picture 3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25" name="Picture 3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5</xdr:col>
      <xdr:colOff>0</xdr:colOff>
      <xdr:row>51</xdr:row>
      <xdr:rowOff>9525</xdr:rowOff>
    </xdr:to>
    <xdr:pic>
      <xdr:nvPicPr>
        <xdr:cNvPr id="26" name="Picture 3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5</xdr:col>
      <xdr:colOff>0</xdr:colOff>
      <xdr:row>53</xdr:row>
      <xdr:rowOff>9525</xdr:rowOff>
    </xdr:to>
    <xdr:pic>
      <xdr:nvPicPr>
        <xdr:cNvPr id="27" name="Picture 3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0</xdr:colOff>
      <xdr:row>55</xdr:row>
      <xdr:rowOff>9525</xdr:rowOff>
    </xdr:to>
    <xdr:pic>
      <xdr:nvPicPr>
        <xdr:cNvPr id="28" name="Picture 3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5</xdr:col>
      <xdr:colOff>0</xdr:colOff>
      <xdr:row>57</xdr:row>
      <xdr:rowOff>9525</xdr:rowOff>
    </xdr:to>
    <xdr:pic>
      <xdr:nvPicPr>
        <xdr:cNvPr id="29" name="Picture 3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5</xdr:col>
      <xdr:colOff>0</xdr:colOff>
      <xdr:row>59</xdr:row>
      <xdr:rowOff>9525</xdr:rowOff>
    </xdr:to>
    <xdr:pic>
      <xdr:nvPicPr>
        <xdr:cNvPr id="30" name="Picture 3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pic>
      <xdr:nvPicPr>
        <xdr:cNvPr id="31" name="Picture 3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5</xdr:col>
      <xdr:colOff>0</xdr:colOff>
      <xdr:row>63</xdr:row>
      <xdr:rowOff>9525</xdr:rowOff>
    </xdr:to>
    <xdr:pic>
      <xdr:nvPicPr>
        <xdr:cNvPr id="32" name="Picture 3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5</xdr:col>
      <xdr:colOff>0</xdr:colOff>
      <xdr:row>65</xdr:row>
      <xdr:rowOff>9525</xdr:rowOff>
    </xdr:to>
    <xdr:pic>
      <xdr:nvPicPr>
        <xdr:cNvPr id="33" name="Picture 3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5</xdr:col>
      <xdr:colOff>0</xdr:colOff>
      <xdr:row>67</xdr:row>
      <xdr:rowOff>9525</xdr:rowOff>
    </xdr:to>
    <xdr:pic>
      <xdr:nvPicPr>
        <xdr:cNvPr id="34" name="Picture 3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0</xdr:colOff>
      <xdr:row>69</xdr:row>
      <xdr:rowOff>9525</xdr:rowOff>
    </xdr:to>
    <xdr:pic>
      <xdr:nvPicPr>
        <xdr:cNvPr id="35" name="Picture 3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0</xdr:colOff>
      <xdr:row>71</xdr:row>
      <xdr:rowOff>9525</xdr:rowOff>
    </xdr:to>
    <xdr:pic>
      <xdr:nvPicPr>
        <xdr:cNvPr id="36" name="Picture 3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5</xdr:col>
      <xdr:colOff>0</xdr:colOff>
      <xdr:row>73</xdr:row>
      <xdr:rowOff>9525</xdr:rowOff>
    </xdr:to>
    <xdr:pic>
      <xdr:nvPicPr>
        <xdr:cNvPr id="37" name="Picture 3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0</xdr:colOff>
      <xdr:row>75</xdr:row>
      <xdr:rowOff>9525</xdr:rowOff>
    </xdr:to>
    <xdr:pic>
      <xdr:nvPicPr>
        <xdr:cNvPr id="38" name="Picture 3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5</xdr:col>
      <xdr:colOff>0</xdr:colOff>
      <xdr:row>77</xdr:row>
      <xdr:rowOff>9525</xdr:rowOff>
    </xdr:to>
    <xdr:pic>
      <xdr:nvPicPr>
        <xdr:cNvPr id="39" name="Picture 3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40" name="Picture 3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41" name="Picture 3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5</xdr:col>
      <xdr:colOff>0</xdr:colOff>
      <xdr:row>83</xdr:row>
      <xdr:rowOff>9525</xdr:rowOff>
    </xdr:to>
    <xdr:pic>
      <xdr:nvPicPr>
        <xdr:cNvPr id="42" name="Picture 3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0</xdr:colOff>
      <xdr:row>85</xdr:row>
      <xdr:rowOff>9525</xdr:rowOff>
    </xdr:to>
    <xdr:pic>
      <xdr:nvPicPr>
        <xdr:cNvPr id="43" name="Picture 3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pic>
      <xdr:nvPicPr>
        <xdr:cNvPr id="44" name="Picture 3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5</xdr:col>
      <xdr:colOff>0</xdr:colOff>
      <xdr:row>89</xdr:row>
      <xdr:rowOff>9525</xdr:rowOff>
    </xdr:to>
    <xdr:pic>
      <xdr:nvPicPr>
        <xdr:cNvPr id="45" name="Picture 3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5</xdr:col>
      <xdr:colOff>0</xdr:colOff>
      <xdr:row>91</xdr:row>
      <xdr:rowOff>9525</xdr:rowOff>
    </xdr:to>
    <xdr:pic>
      <xdr:nvPicPr>
        <xdr:cNvPr id="46" name="Picture 3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pic>
      <xdr:nvPicPr>
        <xdr:cNvPr id="47" name="Picture 3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8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8" name="Picture 3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6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9" name="Picture 3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5</xdr:col>
      <xdr:colOff>0</xdr:colOff>
      <xdr:row>99</xdr:row>
      <xdr:rowOff>9525</xdr:rowOff>
    </xdr:to>
    <xdr:pic>
      <xdr:nvPicPr>
        <xdr:cNvPr id="50" name="Picture 3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5</xdr:col>
      <xdr:colOff>0</xdr:colOff>
      <xdr:row>101</xdr:row>
      <xdr:rowOff>9525</xdr:rowOff>
    </xdr:to>
    <xdr:pic>
      <xdr:nvPicPr>
        <xdr:cNvPr id="51" name="Picture 3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5</xdr:col>
      <xdr:colOff>0</xdr:colOff>
      <xdr:row>103</xdr:row>
      <xdr:rowOff>9525</xdr:rowOff>
    </xdr:to>
    <xdr:pic>
      <xdr:nvPicPr>
        <xdr:cNvPr id="52" name="Picture 3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5</xdr:col>
      <xdr:colOff>0</xdr:colOff>
      <xdr:row>105</xdr:row>
      <xdr:rowOff>9525</xdr:rowOff>
    </xdr:to>
    <xdr:pic>
      <xdr:nvPicPr>
        <xdr:cNvPr id="53" name="Picture 3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5</xdr:col>
      <xdr:colOff>0</xdr:colOff>
      <xdr:row>107</xdr:row>
      <xdr:rowOff>9525</xdr:rowOff>
    </xdr:to>
    <xdr:pic>
      <xdr:nvPicPr>
        <xdr:cNvPr id="54" name="Picture 3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5</xdr:col>
      <xdr:colOff>0</xdr:colOff>
      <xdr:row>109</xdr:row>
      <xdr:rowOff>9525</xdr:rowOff>
    </xdr:to>
    <xdr:pic>
      <xdr:nvPicPr>
        <xdr:cNvPr id="55" name="Picture 3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5</xdr:col>
      <xdr:colOff>0</xdr:colOff>
      <xdr:row>111</xdr:row>
      <xdr:rowOff>9525</xdr:rowOff>
    </xdr:to>
    <xdr:pic>
      <xdr:nvPicPr>
        <xdr:cNvPr id="56" name="Picture 3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5</xdr:col>
      <xdr:colOff>0</xdr:colOff>
      <xdr:row>113</xdr:row>
      <xdr:rowOff>9525</xdr:rowOff>
    </xdr:to>
    <xdr:pic>
      <xdr:nvPicPr>
        <xdr:cNvPr id="57" name="Picture 3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9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5</xdr:col>
      <xdr:colOff>0</xdr:colOff>
      <xdr:row>115</xdr:row>
      <xdr:rowOff>9525</xdr:rowOff>
    </xdr:to>
    <xdr:pic>
      <xdr:nvPicPr>
        <xdr:cNvPr id="58" name="Picture 3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0</xdr:colOff>
      <xdr:row>117</xdr:row>
      <xdr:rowOff>9525</xdr:rowOff>
    </xdr:to>
    <xdr:pic>
      <xdr:nvPicPr>
        <xdr:cNvPr id="59" name="Picture 3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5</xdr:col>
      <xdr:colOff>0</xdr:colOff>
      <xdr:row>119</xdr:row>
      <xdr:rowOff>9525</xdr:rowOff>
    </xdr:to>
    <xdr:pic>
      <xdr:nvPicPr>
        <xdr:cNvPr id="60" name="Picture 3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4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5</xdr:col>
      <xdr:colOff>0</xdr:colOff>
      <xdr:row>121</xdr:row>
      <xdr:rowOff>9525</xdr:rowOff>
    </xdr:to>
    <xdr:pic>
      <xdr:nvPicPr>
        <xdr:cNvPr id="61" name="Picture 3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5</xdr:col>
      <xdr:colOff>0</xdr:colOff>
      <xdr:row>123</xdr:row>
      <xdr:rowOff>9525</xdr:rowOff>
    </xdr:to>
    <xdr:pic>
      <xdr:nvPicPr>
        <xdr:cNvPr id="62" name="Picture 3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5</xdr:col>
      <xdr:colOff>0</xdr:colOff>
      <xdr:row>125</xdr:row>
      <xdr:rowOff>9525</xdr:rowOff>
    </xdr:to>
    <xdr:pic>
      <xdr:nvPicPr>
        <xdr:cNvPr id="63" name="Picture 3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5</xdr:col>
      <xdr:colOff>0</xdr:colOff>
      <xdr:row>127</xdr:row>
      <xdr:rowOff>9525</xdr:rowOff>
    </xdr:to>
    <xdr:pic>
      <xdr:nvPicPr>
        <xdr:cNvPr id="64" name="Picture 3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5</xdr:col>
      <xdr:colOff>0</xdr:colOff>
      <xdr:row>129</xdr:row>
      <xdr:rowOff>9525</xdr:rowOff>
    </xdr:to>
    <xdr:pic>
      <xdr:nvPicPr>
        <xdr:cNvPr id="65" name="Picture 3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5</xdr:col>
      <xdr:colOff>0</xdr:colOff>
      <xdr:row>131</xdr:row>
      <xdr:rowOff>9525</xdr:rowOff>
    </xdr:to>
    <xdr:pic>
      <xdr:nvPicPr>
        <xdr:cNvPr id="66" name="Picture 3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5</xdr:col>
      <xdr:colOff>0</xdr:colOff>
      <xdr:row>133</xdr:row>
      <xdr:rowOff>9525</xdr:rowOff>
    </xdr:to>
    <xdr:pic>
      <xdr:nvPicPr>
        <xdr:cNvPr id="67" name="Picture 3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5</xdr:col>
      <xdr:colOff>0</xdr:colOff>
      <xdr:row>135</xdr:row>
      <xdr:rowOff>9525</xdr:rowOff>
    </xdr:to>
    <xdr:pic>
      <xdr:nvPicPr>
        <xdr:cNvPr id="68" name="Picture 3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8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5</xdr:col>
      <xdr:colOff>0</xdr:colOff>
      <xdr:row>137</xdr:row>
      <xdr:rowOff>9525</xdr:rowOff>
    </xdr:to>
    <xdr:pic>
      <xdr:nvPicPr>
        <xdr:cNvPr id="69" name="Picture 3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5</xdr:col>
      <xdr:colOff>0</xdr:colOff>
      <xdr:row>139</xdr:row>
      <xdr:rowOff>9525</xdr:rowOff>
    </xdr:to>
    <xdr:pic>
      <xdr:nvPicPr>
        <xdr:cNvPr id="70" name="Picture 3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5</xdr:col>
      <xdr:colOff>0</xdr:colOff>
      <xdr:row>141</xdr:row>
      <xdr:rowOff>9525</xdr:rowOff>
    </xdr:to>
    <xdr:pic>
      <xdr:nvPicPr>
        <xdr:cNvPr id="71" name="Picture 3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5</xdr:col>
      <xdr:colOff>0</xdr:colOff>
      <xdr:row>143</xdr:row>
      <xdr:rowOff>9525</xdr:rowOff>
    </xdr:to>
    <xdr:pic>
      <xdr:nvPicPr>
        <xdr:cNvPr id="72" name="Picture 3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5</xdr:col>
      <xdr:colOff>0</xdr:colOff>
      <xdr:row>145</xdr:row>
      <xdr:rowOff>9525</xdr:rowOff>
    </xdr:to>
    <xdr:pic>
      <xdr:nvPicPr>
        <xdr:cNvPr id="73" name="Picture 4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5</xdr:col>
      <xdr:colOff>0</xdr:colOff>
      <xdr:row>147</xdr:row>
      <xdr:rowOff>9525</xdr:rowOff>
    </xdr:to>
    <xdr:pic>
      <xdr:nvPicPr>
        <xdr:cNvPr id="74" name="Picture 4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5</xdr:col>
      <xdr:colOff>0</xdr:colOff>
      <xdr:row>149</xdr:row>
      <xdr:rowOff>9525</xdr:rowOff>
    </xdr:to>
    <xdr:pic>
      <xdr:nvPicPr>
        <xdr:cNvPr id="75" name="Picture 4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5</xdr:col>
      <xdr:colOff>0</xdr:colOff>
      <xdr:row>151</xdr:row>
      <xdr:rowOff>9525</xdr:rowOff>
    </xdr:to>
    <xdr:pic>
      <xdr:nvPicPr>
        <xdr:cNvPr id="76" name="Picture 4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5</xdr:col>
      <xdr:colOff>0</xdr:colOff>
      <xdr:row>153</xdr:row>
      <xdr:rowOff>9525</xdr:rowOff>
    </xdr:to>
    <xdr:pic>
      <xdr:nvPicPr>
        <xdr:cNvPr id="77" name="Picture 4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5</xdr:col>
      <xdr:colOff>0</xdr:colOff>
      <xdr:row>155</xdr:row>
      <xdr:rowOff>9525</xdr:rowOff>
    </xdr:to>
    <xdr:pic>
      <xdr:nvPicPr>
        <xdr:cNvPr id="78" name="Picture 4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5</xdr:col>
      <xdr:colOff>0</xdr:colOff>
      <xdr:row>157</xdr:row>
      <xdr:rowOff>9525</xdr:rowOff>
    </xdr:to>
    <xdr:pic>
      <xdr:nvPicPr>
        <xdr:cNvPr id="79" name="Picture 4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5</xdr:col>
      <xdr:colOff>0</xdr:colOff>
      <xdr:row>159</xdr:row>
      <xdr:rowOff>9525</xdr:rowOff>
    </xdr:to>
    <xdr:pic>
      <xdr:nvPicPr>
        <xdr:cNvPr id="80" name="Picture 4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5</xdr:col>
      <xdr:colOff>0</xdr:colOff>
      <xdr:row>161</xdr:row>
      <xdr:rowOff>9525</xdr:rowOff>
    </xdr:to>
    <xdr:pic>
      <xdr:nvPicPr>
        <xdr:cNvPr id="81" name="Picture 4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5</xdr:col>
      <xdr:colOff>0</xdr:colOff>
      <xdr:row>163</xdr:row>
      <xdr:rowOff>9525</xdr:rowOff>
    </xdr:to>
    <xdr:pic>
      <xdr:nvPicPr>
        <xdr:cNvPr id="82" name="Picture 4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5</xdr:col>
      <xdr:colOff>0</xdr:colOff>
      <xdr:row>165</xdr:row>
      <xdr:rowOff>9525</xdr:rowOff>
    </xdr:to>
    <xdr:pic>
      <xdr:nvPicPr>
        <xdr:cNvPr id="83" name="Picture 4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5</xdr:col>
      <xdr:colOff>0</xdr:colOff>
      <xdr:row>167</xdr:row>
      <xdr:rowOff>9525</xdr:rowOff>
    </xdr:to>
    <xdr:pic>
      <xdr:nvPicPr>
        <xdr:cNvPr id="84" name="Picture 4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5</xdr:col>
      <xdr:colOff>0</xdr:colOff>
      <xdr:row>169</xdr:row>
      <xdr:rowOff>9525</xdr:rowOff>
    </xdr:to>
    <xdr:pic>
      <xdr:nvPicPr>
        <xdr:cNvPr id="85" name="Picture 4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5</xdr:col>
      <xdr:colOff>0</xdr:colOff>
      <xdr:row>171</xdr:row>
      <xdr:rowOff>9525</xdr:rowOff>
    </xdr:to>
    <xdr:pic>
      <xdr:nvPicPr>
        <xdr:cNvPr id="86" name="Picture 4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5</xdr:col>
      <xdr:colOff>0</xdr:colOff>
      <xdr:row>173</xdr:row>
      <xdr:rowOff>9525</xdr:rowOff>
    </xdr:to>
    <xdr:pic>
      <xdr:nvPicPr>
        <xdr:cNvPr id="87" name="Picture 4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5</xdr:col>
      <xdr:colOff>0</xdr:colOff>
      <xdr:row>175</xdr:row>
      <xdr:rowOff>9525</xdr:rowOff>
    </xdr:to>
    <xdr:pic>
      <xdr:nvPicPr>
        <xdr:cNvPr id="88" name="Picture 4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90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5</xdr:col>
      <xdr:colOff>0</xdr:colOff>
      <xdr:row>177</xdr:row>
      <xdr:rowOff>9525</xdr:rowOff>
    </xdr:to>
    <xdr:pic>
      <xdr:nvPicPr>
        <xdr:cNvPr id="89" name="Picture 4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5</xdr:col>
      <xdr:colOff>0</xdr:colOff>
      <xdr:row>179</xdr:row>
      <xdr:rowOff>9525</xdr:rowOff>
    </xdr:to>
    <xdr:pic>
      <xdr:nvPicPr>
        <xdr:cNvPr id="90" name="Picture 4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7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5</xdr:col>
      <xdr:colOff>0</xdr:colOff>
      <xdr:row>181</xdr:row>
      <xdr:rowOff>9525</xdr:rowOff>
    </xdr:to>
    <xdr:pic>
      <xdr:nvPicPr>
        <xdr:cNvPr id="91" name="Picture 4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5</xdr:col>
      <xdr:colOff>0</xdr:colOff>
      <xdr:row>183</xdr:row>
      <xdr:rowOff>9525</xdr:rowOff>
    </xdr:to>
    <xdr:pic>
      <xdr:nvPicPr>
        <xdr:cNvPr id="92" name="Picture 4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5</xdr:col>
      <xdr:colOff>0</xdr:colOff>
      <xdr:row>185</xdr:row>
      <xdr:rowOff>9525</xdr:rowOff>
    </xdr:to>
    <xdr:pic>
      <xdr:nvPicPr>
        <xdr:cNvPr id="93" name="Picture 4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5</xdr:col>
      <xdr:colOff>0</xdr:colOff>
      <xdr:row>187</xdr:row>
      <xdr:rowOff>9525</xdr:rowOff>
    </xdr:to>
    <xdr:pic>
      <xdr:nvPicPr>
        <xdr:cNvPr id="94" name="Picture 4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5</xdr:col>
      <xdr:colOff>0</xdr:colOff>
      <xdr:row>189</xdr:row>
      <xdr:rowOff>9525</xdr:rowOff>
    </xdr:to>
    <xdr:pic>
      <xdr:nvPicPr>
        <xdr:cNvPr id="95" name="Picture 4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5</xdr:col>
      <xdr:colOff>0</xdr:colOff>
      <xdr:row>191</xdr:row>
      <xdr:rowOff>9525</xdr:rowOff>
    </xdr:to>
    <xdr:pic>
      <xdr:nvPicPr>
        <xdr:cNvPr id="96" name="Picture 4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5</xdr:col>
      <xdr:colOff>0</xdr:colOff>
      <xdr:row>193</xdr:row>
      <xdr:rowOff>9525</xdr:rowOff>
    </xdr:to>
    <xdr:pic>
      <xdr:nvPicPr>
        <xdr:cNvPr id="97" name="Picture 4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5</xdr:col>
      <xdr:colOff>0</xdr:colOff>
      <xdr:row>195</xdr:row>
      <xdr:rowOff>9525</xdr:rowOff>
    </xdr:to>
    <xdr:pic>
      <xdr:nvPicPr>
        <xdr:cNvPr id="98" name="Picture 4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5</xdr:col>
      <xdr:colOff>0</xdr:colOff>
      <xdr:row>197</xdr:row>
      <xdr:rowOff>9525</xdr:rowOff>
    </xdr:to>
    <xdr:pic>
      <xdr:nvPicPr>
        <xdr:cNvPr id="99" name="Picture 4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5</xdr:col>
      <xdr:colOff>0</xdr:colOff>
      <xdr:row>199</xdr:row>
      <xdr:rowOff>9525</xdr:rowOff>
    </xdr:to>
    <xdr:pic>
      <xdr:nvPicPr>
        <xdr:cNvPr id="100" name="Picture 4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5</xdr:col>
      <xdr:colOff>0</xdr:colOff>
      <xdr:row>201</xdr:row>
      <xdr:rowOff>9525</xdr:rowOff>
    </xdr:to>
    <xdr:pic>
      <xdr:nvPicPr>
        <xdr:cNvPr id="101" name="Picture 4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5</xdr:col>
      <xdr:colOff>0</xdr:colOff>
      <xdr:row>203</xdr:row>
      <xdr:rowOff>9525</xdr:rowOff>
    </xdr:to>
    <xdr:pic>
      <xdr:nvPicPr>
        <xdr:cNvPr id="102" name="Picture 4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5</xdr:col>
      <xdr:colOff>0</xdr:colOff>
      <xdr:row>205</xdr:row>
      <xdr:rowOff>9525</xdr:rowOff>
    </xdr:to>
    <xdr:pic>
      <xdr:nvPicPr>
        <xdr:cNvPr id="103" name="Picture 4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5</xdr:col>
      <xdr:colOff>0</xdr:colOff>
      <xdr:row>207</xdr:row>
      <xdr:rowOff>9525</xdr:rowOff>
    </xdr:to>
    <xdr:pic>
      <xdr:nvPicPr>
        <xdr:cNvPr id="104" name="Picture 4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5</xdr:col>
      <xdr:colOff>0</xdr:colOff>
      <xdr:row>209</xdr:row>
      <xdr:rowOff>9525</xdr:rowOff>
    </xdr:to>
    <xdr:pic>
      <xdr:nvPicPr>
        <xdr:cNvPr id="105" name="Picture 4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5</xdr:col>
      <xdr:colOff>0</xdr:colOff>
      <xdr:row>211</xdr:row>
      <xdr:rowOff>9525</xdr:rowOff>
    </xdr:to>
    <xdr:pic>
      <xdr:nvPicPr>
        <xdr:cNvPr id="106" name="Picture 4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5</xdr:col>
      <xdr:colOff>0</xdr:colOff>
      <xdr:row>213</xdr:row>
      <xdr:rowOff>9525</xdr:rowOff>
    </xdr:to>
    <xdr:pic>
      <xdr:nvPicPr>
        <xdr:cNvPr id="107" name="Picture 4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5</xdr:col>
      <xdr:colOff>0</xdr:colOff>
      <xdr:row>215</xdr:row>
      <xdr:rowOff>9525</xdr:rowOff>
    </xdr:to>
    <xdr:pic>
      <xdr:nvPicPr>
        <xdr:cNvPr id="108" name="Picture 4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5</xdr:col>
      <xdr:colOff>0</xdr:colOff>
      <xdr:row>217</xdr:row>
      <xdr:rowOff>9525</xdr:rowOff>
    </xdr:to>
    <xdr:pic>
      <xdr:nvPicPr>
        <xdr:cNvPr id="109" name="Picture 4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5</xdr:col>
      <xdr:colOff>0</xdr:colOff>
      <xdr:row>219</xdr:row>
      <xdr:rowOff>9525</xdr:rowOff>
    </xdr:to>
    <xdr:pic>
      <xdr:nvPicPr>
        <xdr:cNvPr id="110" name="Picture 4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5</xdr:col>
      <xdr:colOff>0</xdr:colOff>
      <xdr:row>221</xdr:row>
      <xdr:rowOff>9525</xdr:rowOff>
    </xdr:to>
    <xdr:pic>
      <xdr:nvPicPr>
        <xdr:cNvPr id="111" name="Picture 4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5</xdr:col>
      <xdr:colOff>0</xdr:colOff>
      <xdr:row>223</xdr:row>
      <xdr:rowOff>9525</xdr:rowOff>
    </xdr:to>
    <xdr:pic>
      <xdr:nvPicPr>
        <xdr:cNvPr id="112" name="Picture 4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5</xdr:col>
      <xdr:colOff>0</xdr:colOff>
      <xdr:row>225</xdr:row>
      <xdr:rowOff>9525</xdr:rowOff>
    </xdr:to>
    <xdr:pic>
      <xdr:nvPicPr>
        <xdr:cNvPr id="113" name="Picture 4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5</xdr:col>
      <xdr:colOff>0</xdr:colOff>
      <xdr:row>227</xdr:row>
      <xdr:rowOff>9525</xdr:rowOff>
    </xdr:to>
    <xdr:pic>
      <xdr:nvPicPr>
        <xdr:cNvPr id="114" name="Picture 4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5</xdr:col>
      <xdr:colOff>0</xdr:colOff>
      <xdr:row>229</xdr:row>
      <xdr:rowOff>9525</xdr:rowOff>
    </xdr:to>
    <xdr:pic>
      <xdr:nvPicPr>
        <xdr:cNvPr id="115" name="Picture 4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5</xdr:col>
      <xdr:colOff>0</xdr:colOff>
      <xdr:row>231</xdr:row>
      <xdr:rowOff>9525</xdr:rowOff>
    </xdr:to>
    <xdr:pic>
      <xdr:nvPicPr>
        <xdr:cNvPr id="116" name="Picture 4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5</xdr:col>
      <xdr:colOff>0</xdr:colOff>
      <xdr:row>233</xdr:row>
      <xdr:rowOff>9525</xdr:rowOff>
    </xdr:to>
    <xdr:pic>
      <xdr:nvPicPr>
        <xdr:cNvPr id="117" name="Picture 4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5</xdr:col>
      <xdr:colOff>0</xdr:colOff>
      <xdr:row>235</xdr:row>
      <xdr:rowOff>9525</xdr:rowOff>
    </xdr:to>
    <xdr:pic>
      <xdr:nvPicPr>
        <xdr:cNvPr id="118" name="Picture 4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5</xdr:col>
      <xdr:colOff>0</xdr:colOff>
      <xdr:row>237</xdr:row>
      <xdr:rowOff>9525</xdr:rowOff>
    </xdr:to>
    <xdr:pic>
      <xdr:nvPicPr>
        <xdr:cNvPr id="119" name="Picture 4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5</xdr:col>
      <xdr:colOff>0</xdr:colOff>
      <xdr:row>239</xdr:row>
      <xdr:rowOff>9525</xdr:rowOff>
    </xdr:to>
    <xdr:pic>
      <xdr:nvPicPr>
        <xdr:cNvPr id="120" name="Picture 4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0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5</xdr:col>
      <xdr:colOff>0</xdr:colOff>
      <xdr:row>241</xdr:row>
      <xdr:rowOff>9525</xdr:rowOff>
    </xdr:to>
    <xdr:pic>
      <xdr:nvPicPr>
        <xdr:cNvPr id="121" name="Picture 4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8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5</xdr:col>
      <xdr:colOff>0</xdr:colOff>
      <xdr:row>243</xdr:row>
      <xdr:rowOff>9525</xdr:rowOff>
    </xdr:to>
    <xdr:pic>
      <xdr:nvPicPr>
        <xdr:cNvPr id="122" name="Picture 4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5</xdr:col>
      <xdr:colOff>0</xdr:colOff>
      <xdr:row>245</xdr:row>
      <xdr:rowOff>9525</xdr:rowOff>
    </xdr:to>
    <xdr:pic>
      <xdr:nvPicPr>
        <xdr:cNvPr id="123" name="Picture 4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5</xdr:col>
      <xdr:colOff>0</xdr:colOff>
      <xdr:row>247</xdr:row>
      <xdr:rowOff>9525</xdr:rowOff>
    </xdr:to>
    <xdr:pic>
      <xdr:nvPicPr>
        <xdr:cNvPr id="124" name="Picture 4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5</xdr:col>
      <xdr:colOff>0</xdr:colOff>
      <xdr:row>249</xdr:row>
      <xdr:rowOff>9525</xdr:rowOff>
    </xdr:to>
    <xdr:pic>
      <xdr:nvPicPr>
        <xdr:cNvPr id="125" name="Picture 4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5</xdr:col>
      <xdr:colOff>0</xdr:colOff>
      <xdr:row>251</xdr:row>
      <xdr:rowOff>9525</xdr:rowOff>
    </xdr:to>
    <xdr:pic>
      <xdr:nvPicPr>
        <xdr:cNvPr id="126" name="Picture 4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5</xdr:col>
      <xdr:colOff>0</xdr:colOff>
      <xdr:row>253</xdr:row>
      <xdr:rowOff>9525</xdr:rowOff>
    </xdr:to>
    <xdr:pic>
      <xdr:nvPicPr>
        <xdr:cNvPr id="127" name="Picture 4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5</xdr:col>
      <xdr:colOff>0</xdr:colOff>
      <xdr:row>255</xdr:row>
      <xdr:rowOff>9525</xdr:rowOff>
    </xdr:to>
    <xdr:pic>
      <xdr:nvPicPr>
        <xdr:cNvPr id="128" name="Picture 4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5</xdr:col>
      <xdr:colOff>0</xdr:colOff>
      <xdr:row>257</xdr:row>
      <xdr:rowOff>9525</xdr:rowOff>
    </xdr:to>
    <xdr:pic>
      <xdr:nvPicPr>
        <xdr:cNvPr id="129" name="Picture 4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5</xdr:col>
      <xdr:colOff>0</xdr:colOff>
      <xdr:row>259</xdr:row>
      <xdr:rowOff>9525</xdr:rowOff>
    </xdr:to>
    <xdr:pic>
      <xdr:nvPicPr>
        <xdr:cNvPr id="130" name="Picture 4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5</xdr:col>
      <xdr:colOff>0</xdr:colOff>
      <xdr:row>261</xdr:row>
      <xdr:rowOff>9525</xdr:rowOff>
    </xdr:to>
    <xdr:pic>
      <xdr:nvPicPr>
        <xdr:cNvPr id="131" name="Picture 4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5</xdr:col>
      <xdr:colOff>0</xdr:colOff>
      <xdr:row>263</xdr:row>
      <xdr:rowOff>9525</xdr:rowOff>
    </xdr:to>
    <xdr:pic>
      <xdr:nvPicPr>
        <xdr:cNvPr id="132" name="Picture 4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5</xdr:col>
      <xdr:colOff>0</xdr:colOff>
      <xdr:row>265</xdr:row>
      <xdr:rowOff>9525</xdr:rowOff>
    </xdr:to>
    <xdr:pic>
      <xdr:nvPicPr>
        <xdr:cNvPr id="133" name="Picture 4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5</xdr:col>
      <xdr:colOff>0</xdr:colOff>
      <xdr:row>267</xdr:row>
      <xdr:rowOff>9525</xdr:rowOff>
    </xdr:to>
    <xdr:pic>
      <xdr:nvPicPr>
        <xdr:cNvPr id="134" name="Picture 4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5</xdr:col>
      <xdr:colOff>0</xdr:colOff>
      <xdr:row>269</xdr:row>
      <xdr:rowOff>9525</xdr:rowOff>
    </xdr:to>
    <xdr:pic>
      <xdr:nvPicPr>
        <xdr:cNvPr id="135" name="Picture 4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5</xdr:col>
      <xdr:colOff>0</xdr:colOff>
      <xdr:row>271</xdr:row>
      <xdr:rowOff>9525</xdr:rowOff>
    </xdr:to>
    <xdr:pic>
      <xdr:nvPicPr>
        <xdr:cNvPr id="136" name="Picture 4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5</xdr:col>
      <xdr:colOff>0</xdr:colOff>
      <xdr:row>273</xdr:row>
      <xdr:rowOff>9525</xdr:rowOff>
    </xdr:to>
    <xdr:pic>
      <xdr:nvPicPr>
        <xdr:cNvPr id="137" name="Picture 4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5</xdr:col>
      <xdr:colOff>0</xdr:colOff>
      <xdr:row>275</xdr:row>
      <xdr:rowOff>9525</xdr:rowOff>
    </xdr:to>
    <xdr:pic>
      <xdr:nvPicPr>
        <xdr:cNvPr id="138" name="Picture 4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5</xdr:col>
      <xdr:colOff>0</xdr:colOff>
      <xdr:row>277</xdr:row>
      <xdr:rowOff>9525</xdr:rowOff>
    </xdr:to>
    <xdr:pic>
      <xdr:nvPicPr>
        <xdr:cNvPr id="139" name="Picture 4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5</xdr:col>
      <xdr:colOff>0</xdr:colOff>
      <xdr:row>279</xdr:row>
      <xdr:rowOff>9525</xdr:rowOff>
    </xdr:to>
    <xdr:pic>
      <xdr:nvPicPr>
        <xdr:cNvPr id="140" name="Picture 4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2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5</xdr:col>
      <xdr:colOff>0</xdr:colOff>
      <xdr:row>281</xdr:row>
      <xdr:rowOff>9525</xdr:rowOff>
    </xdr:to>
    <xdr:pic>
      <xdr:nvPicPr>
        <xdr:cNvPr id="141" name="Picture 4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5</xdr:col>
      <xdr:colOff>0</xdr:colOff>
      <xdr:row>283</xdr:row>
      <xdr:rowOff>9525</xdr:rowOff>
    </xdr:to>
    <xdr:pic>
      <xdr:nvPicPr>
        <xdr:cNvPr id="142" name="Picture 4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8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5</xdr:col>
      <xdr:colOff>0</xdr:colOff>
      <xdr:row>285</xdr:row>
      <xdr:rowOff>9525</xdr:rowOff>
    </xdr:to>
    <xdr:pic>
      <xdr:nvPicPr>
        <xdr:cNvPr id="143" name="Picture 4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5</xdr:col>
      <xdr:colOff>0</xdr:colOff>
      <xdr:row>287</xdr:row>
      <xdr:rowOff>9525</xdr:rowOff>
    </xdr:to>
    <xdr:pic>
      <xdr:nvPicPr>
        <xdr:cNvPr id="144" name="Picture 4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5</xdr:col>
      <xdr:colOff>0</xdr:colOff>
      <xdr:row>289</xdr:row>
      <xdr:rowOff>9525</xdr:rowOff>
    </xdr:to>
    <xdr:pic>
      <xdr:nvPicPr>
        <xdr:cNvPr id="145" name="Picture 4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5</xdr:col>
      <xdr:colOff>0</xdr:colOff>
      <xdr:row>291</xdr:row>
      <xdr:rowOff>9525</xdr:rowOff>
    </xdr:to>
    <xdr:pic>
      <xdr:nvPicPr>
        <xdr:cNvPr id="146" name="Picture 4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5</xdr:col>
      <xdr:colOff>0</xdr:colOff>
      <xdr:row>293</xdr:row>
      <xdr:rowOff>9525</xdr:rowOff>
    </xdr:to>
    <xdr:pic>
      <xdr:nvPicPr>
        <xdr:cNvPr id="147" name="Picture 4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5</xdr:col>
      <xdr:colOff>0</xdr:colOff>
      <xdr:row>295</xdr:row>
      <xdr:rowOff>9525</xdr:rowOff>
    </xdr:to>
    <xdr:pic>
      <xdr:nvPicPr>
        <xdr:cNvPr id="148" name="Picture 4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5</xdr:col>
      <xdr:colOff>0</xdr:colOff>
      <xdr:row>297</xdr:row>
      <xdr:rowOff>9525</xdr:rowOff>
    </xdr:to>
    <xdr:pic>
      <xdr:nvPicPr>
        <xdr:cNvPr id="149" name="Picture 4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5</xdr:col>
      <xdr:colOff>0</xdr:colOff>
      <xdr:row>299</xdr:row>
      <xdr:rowOff>9525</xdr:rowOff>
    </xdr:to>
    <xdr:pic>
      <xdr:nvPicPr>
        <xdr:cNvPr id="150" name="Picture 4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5</xdr:col>
      <xdr:colOff>0</xdr:colOff>
      <xdr:row>301</xdr:row>
      <xdr:rowOff>9525</xdr:rowOff>
    </xdr:to>
    <xdr:pic>
      <xdr:nvPicPr>
        <xdr:cNvPr id="151" name="Picture 4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5</xdr:col>
      <xdr:colOff>0</xdr:colOff>
      <xdr:row>303</xdr:row>
      <xdr:rowOff>9525</xdr:rowOff>
    </xdr:to>
    <xdr:pic>
      <xdr:nvPicPr>
        <xdr:cNvPr id="152" name="Picture 4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5</xdr:col>
      <xdr:colOff>0</xdr:colOff>
      <xdr:row>305</xdr:row>
      <xdr:rowOff>9525</xdr:rowOff>
    </xdr:to>
    <xdr:pic>
      <xdr:nvPicPr>
        <xdr:cNvPr id="153" name="Picture 4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5</xdr:col>
      <xdr:colOff>0</xdr:colOff>
      <xdr:row>307</xdr:row>
      <xdr:rowOff>9525</xdr:rowOff>
    </xdr:to>
    <xdr:pic>
      <xdr:nvPicPr>
        <xdr:cNvPr id="154" name="Picture 4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5</xdr:col>
      <xdr:colOff>0</xdr:colOff>
      <xdr:row>309</xdr:row>
      <xdr:rowOff>9525</xdr:rowOff>
    </xdr:to>
    <xdr:pic>
      <xdr:nvPicPr>
        <xdr:cNvPr id="155" name="Picture 4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5</xdr:col>
      <xdr:colOff>0</xdr:colOff>
      <xdr:row>311</xdr:row>
      <xdr:rowOff>9525</xdr:rowOff>
    </xdr:to>
    <xdr:pic>
      <xdr:nvPicPr>
        <xdr:cNvPr id="156" name="Picture 4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5</xdr:col>
      <xdr:colOff>0</xdr:colOff>
      <xdr:row>313</xdr:row>
      <xdr:rowOff>9525</xdr:rowOff>
    </xdr:to>
    <xdr:pic>
      <xdr:nvPicPr>
        <xdr:cNvPr id="157" name="Picture 4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5</xdr:col>
      <xdr:colOff>0</xdr:colOff>
      <xdr:row>315</xdr:row>
      <xdr:rowOff>9525</xdr:rowOff>
    </xdr:to>
    <xdr:pic>
      <xdr:nvPicPr>
        <xdr:cNvPr id="158" name="Picture 4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5</xdr:col>
      <xdr:colOff>0</xdr:colOff>
      <xdr:row>317</xdr:row>
      <xdr:rowOff>9525</xdr:rowOff>
    </xdr:to>
    <xdr:pic>
      <xdr:nvPicPr>
        <xdr:cNvPr id="159" name="Picture 4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5</xdr:col>
      <xdr:colOff>0</xdr:colOff>
      <xdr:row>319</xdr:row>
      <xdr:rowOff>9525</xdr:rowOff>
    </xdr:to>
    <xdr:pic>
      <xdr:nvPicPr>
        <xdr:cNvPr id="160" name="Picture 4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5</xdr:col>
      <xdr:colOff>0</xdr:colOff>
      <xdr:row>321</xdr:row>
      <xdr:rowOff>9525</xdr:rowOff>
    </xdr:to>
    <xdr:pic>
      <xdr:nvPicPr>
        <xdr:cNvPr id="161" name="Picture 4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5</xdr:col>
      <xdr:colOff>0</xdr:colOff>
      <xdr:row>323</xdr:row>
      <xdr:rowOff>9525</xdr:rowOff>
    </xdr:to>
    <xdr:pic>
      <xdr:nvPicPr>
        <xdr:cNvPr id="162" name="Picture 4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1</xdr:col>
      <xdr:colOff>0</xdr:colOff>
      <xdr:row>325</xdr:row>
      <xdr:rowOff>28575</xdr:rowOff>
    </xdr:to>
    <xdr:pic>
      <xdr:nvPicPr>
        <xdr:cNvPr id="163" name="Picture 4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5</xdr:col>
      <xdr:colOff>0</xdr:colOff>
      <xdr:row>327</xdr:row>
      <xdr:rowOff>9525</xdr:rowOff>
    </xdr:to>
    <xdr:pic>
      <xdr:nvPicPr>
        <xdr:cNvPr id="164" name="Picture 4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5</xdr:col>
      <xdr:colOff>0</xdr:colOff>
      <xdr:row>329</xdr:row>
      <xdr:rowOff>9525</xdr:rowOff>
    </xdr:to>
    <xdr:pic>
      <xdr:nvPicPr>
        <xdr:cNvPr id="165" name="Picture 4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5</xdr:col>
      <xdr:colOff>0</xdr:colOff>
      <xdr:row>331</xdr:row>
      <xdr:rowOff>9525</xdr:rowOff>
    </xdr:to>
    <xdr:pic>
      <xdr:nvPicPr>
        <xdr:cNvPr id="166" name="Picture 4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5</xdr:col>
      <xdr:colOff>0</xdr:colOff>
      <xdr:row>333</xdr:row>
      <xdr:rowOff>9525</xdr:rowOff>
    </xdr:to>
    <xdr:pic>
      <xdr:nvPicPr>
        <xdr:cNvPr id="167" name="Picture 4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5</xdr:col>
      <xdr:colOff>0</xdr:colOff>
      <xdr:row>335</xdr:row>
      <xdr:rowOff>9525</xdr:rowOff>
    </xdr:to>
    <xdr:pic>
      <xdr:nvPicPr>
        <xdr:cNvPr id="168" name="Picture 4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5</xdr:col>
      <xdr:colOff>0</xdr:colOff>
      <xdr:row>337</xdr:row>
      <xdr:rowOff>9525</xdr:rowOff>
    </xdr:to>
    <xdr:pic>
      <xdr:nvPicPr>
        <xdr:cNvPr id="169" name="Picture 4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6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5</xdr:col>
      <xdr:colOff>0</xdr:colOff>
      <xdr:row>339</xdr:row>
      <xdr:rowOff>9525</xdr:rowOff>
    </xdr:to>
    <xdr:pic>
      <xdr:nvPicPr>
        <xdr:cNvPr id="170" name="Picture 4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5</xdr:col>
      <xdr:colOff>0</xdr:colOff>
      <xdr:row>341</xdr:row>
      <xdr:rowOff>9525</xdr:rowOff>
    </xdr:to>
    <xdr:pic>
      <xdr:nvPicPr>
        <xdr:cNvPr id="171" name="Picture 4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5</xdr:col>
      <xdr:colOff>0</xdr:colOff>
      <xdr:row>343</xdr:row>
      <xdr:rowOff>9525</xdr:rowOff>
    </xdr:to>
    <xdr:pic>
      <xdr:nvPicPr>
        <xdr:cNvPr id="172" name="Picture 4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5</xdr:col>
      <xdr:colOff>0</xdr:colOff>
      <xdr:row>345</xdr:row>
      <xdr:rowOff>9525</xdr:rowOff>
    </xdr:to>
    <xdr:pic>
      <xdr:nvPicPr>
        <xdr:cNvPr id="173" name="Picture 5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48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5</xdr:col>
      <xdr:colOff>0</xdr:colOff>
      <xdr:row>347</xdr:row>
      <xdr:rowOff>9525</xdr:rowOff>
    </xdr:to>
    <xdr:pic>
      <xdr:nvPicPr>
        <xdr:cNvPr id="174" name="Picture 5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5</xdr:col>
      <xdr:colOff>0</xdr:colOff>
      <xdr:row>349</xdr:row>
      <xdr:rowOff>9525</xdr:rowOff>
    </xdr:to>
    <xdr:pic>
      <xdr:nvPicPr>
        <xdr:cNvPr id="175" name="Picture 5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5</xdr:col>
      <xdr:colOff>0</xdr:colOff>
      <xdr:row>351</xdr:row>
      <xdr:rowOff>9525</xdr:rowOff>
    </xdr:to>
    <xdr:pic>
      <xdr:nvPicPr>
        <xdr:cNvPr id="176" name="Picture 5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5</xdr:col>
      <xdr:colOff>0</xdr:colOff>
      <xdr:row>353</xdr:row>
      <xdr:rowOff>9525</xdr:rowOff>
    </xdr:to>
    <xdr:pic>
      <xdr:nvPicPr>
        <xdr:cNvPr id="177" name="Picture 5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5</xdr:col>
      <xdr:colOff>0</xdr:colOff>
      <xdr:row>355</xdr:row>
      <xdr:rowOff>9525</xdr:rowOff>
    </xdr:to>
    <xdr:pic>
      <xdr:nvPicPr>
        <xdr:cNvPr id="178" name="Picture 5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5</xdr:col>
      <xdr:colOff>0</xdr:colOff>
      <xdr:row>357</xdr:row>
      <xdr:rowOff>9525</xdr:rowOff>
    </xdr:to>
    <xdr:pic>
      <xdr:nvPicPr>
        <xdr:cNvPr id="179" name="Picture 5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5</xdr:col>
      <xdr:colOff>0</xdr:colOff>
      <xdr:row>359</xdr:row>
      <xdr:rowOff>9525</xdr:rowOff>
    </xdr:to>
    <xdr:pic>
      <xdr:nvPicPr>
        <xdr:cNvPr id="180" name="Picture 5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15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5</xdr:col>
      <xdr:colOff>0</xdr:colOff>
      <xdr:row>361</xdr:row>
      <xdr:rowOff>9525</xdr:rowOff>
    </xdr:to>
    <xdr:pic>
      <xdr:nvPicPr>
        <xdr:cNvPr id="181" name="Picture 5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5</xdr:col>
      <xdr:colOff>0</xdr:colOff>
      <xdr:row>363</xdr:row>
      <xdr:rowOff>9525</xdr:rowOff>
    </xdr:to>
    <xdr:pic>
      <xdr:nvPicPr>
        <xdr:cNvPr id="182" name="Picture 5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5</xdr:col>
      <xdr:colOff>0</xdr:colOff>
      <xdr:row>365</xdr:row>
      <xdr:rowOff>9525</xdr:rowOff>
    </xdr:to>
    <xdr:pic>
      <xdr:nvPicPr>
        <xdr:cNvPr id="183" name="Picture 5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5</xdr:col>
      <xdr:colOff>0</xdr:colOff>
      <xdr:row>367</xdr:row>
      <xdr:rowOff>9525</xdr:rowOff>
    </xdr:to>
    <xdr:pic>
      <xdr:nvPicPr>
        <xdr:cNvPr id="184" name="Picture 5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5</xdr:col>
      <xdr:colOff>0</xdr:colOff>
      <xdr:row>369</xdr:row>
      <xdr:rowOff>9525</xdr:rowOff>
    </xdr:to>
    <xdr:pic>
      <xdr:nvPicPr>
        <xdr:cNvPr id="185" name="Picture 5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5</xdr:col>
      <xdr:colOff>0</xdr:colOff>
      <xdr:row>371</xdr:row>
      <xdr:rowOff>9525</xdr:rowOff>
    </xdr:to>
    <xdr:pic>
      <xdr:nvPicPr>
        <xdr:cNvPr id="186" name="Picture 5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5</xdr:col>
      <xdr:colOff>0</xdr:colOff>
      <xdr:row>373</xdr:row>
      <xdr:rowOff>9525</xdr:rowOff>
    </xdr:to>
    <xdr:pic>
      <xdr:nvPicPr>
        <xdr:cNvPr id="187" name="Picture 5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5</xdr:col>
      <xdr:colOff>0</xdr:colOff>
      <xdr:row>375</xdr:row>
      <xdr:rowOff>9525</xdr:rowOff>
    </xdr:to>
    <xdr:pic>
      <xdr:nvPicPr>
        <xdr:cNvPr id="188" name="Picture 5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5</xdr:col>
      <xdr:colOff>0</xdr:colOff>
      <xdr:row>377</xdr:row>
      <xdr:rowOff>9525</xdr:rowOff>
    </xdr:to>
    <xdr:pic>
      <xdr:nvPicPr>
        <xdr:cNvPr id="189" name="Picture 5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5</xdr:col>
      <xdr:colOff>0</xdr:colOff>
      <xdr:row>379</xdr:row>
      <xdr:rowOff>9525</xdr:rowOff>
    </xdr:to>
    <xdr:pic>
      <xdr:nvPicPr>
        <xdr:cNvPr id="190" name="Picture 5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5</xdr:col>
      <xdr:colOff>0</xdr:colOff>
      <xdr:row>381</xdr:row>
      <xdr:rowOff>9525</xdr:rowOff>
    </xdr:to>
    <xdr:pic>
      <xdr:nvPicPr>
        <xdr:cNvPr id="191" name="Picture 5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5</xdr:col>
      <xdr:colOff>0</xdr:colOff>
      <xdr:row>383</xdr:row>
      <xdr:rowOff>9525</xdr:rowOff>
    </xdr:to>
    <xdr:pic>
      <xdr:nvPicPr>
        <xdr:cNvPr id="192" name="Picture 5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5</xdr:col>
      <xdr:colOff>0</xdr:colOff>
      <xdr:row>385</xdr:row>
      <xdr:rowOff>9525</xdr:rowOff>
    </xdr:to>
    <xdr:pic>
      <xdr:nvPicPr>
        <xdr:cNvPr id="193" name="Picture 5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0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5</xdr:col>
      <xdr:colOff>0</xdr:colOff>
      <xdr:row>387</xdr:row>
      <xdr:rowOff>9525</xdr:rowOff>
    </xdr:to>
    <xdr:pic>
      <xdr:nvPicPr>
        <xdr:cNvPr id="194" name="Picture 5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5</xdr:col>
      <xdr:colOff>0</xdr:colOff>
      <xdr:row>389</xdr:row>
      <xdr:rowOff>9525</xdr:rowOff>
    </xdr:to>
    <xdr:pic>
      <xdr:nvPicPr>
        <xdr:cNvPr id="195" name="Picture 5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5</xdr:col>
      <xdr:colOff>0</xdr:colOff>
      <xdr:row>391</xdr:row>
      <xdr:rowOff>9525</xdr:rowOff>
    </xdr:to>
    <xdr:pic>
      <xdr:nvPicPr>
        <xdr:cNvPr id="196" name="Picture 5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5</xdr:col>
      <xdr:colOff>0</xdr:colOff>
      <xdr:row>393</xdr:row>
      <xdr:rowOff>9525</xdr:rowOff>
    </xdr:to>
    <xdr:pic>
      <xdr:nvPicPr>
        <xdr:cNvPr id="197" name="Picture 5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62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5</xdr:col>
      <xdr:colOff>0</xdr:colOff>
      <xdr:row>395</xdr:row>
      <xdr:rowOff>9525</xdr:rowOff>
    </xdr:to>
    <xdr:pic>
      <xdr:nvPicPr>
        <xdr:cNvPr id="198" name="Picture 5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5</xdr:col>
      <xdr:colOff>0</xdr:colOff>
      <xdr:row>397</xdr:row>
      <xdr:rowOff>9525</xdr:rowOff>
    </xdr:to>
    <xdr:pic>
      <xdr:nvPicPr>
        <xdr:cNvPr id="199" name="Picture 5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9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5</xdr:col>
      <xdr:colOff>0</xdr:colOff>
      <xdr:row>399</xdr:row>
      <xdr:rowOff>9525</xdr:rowOff>
    </xdr:to>
    <xdr:pic>
      <xdr:nvPicPr>
        <xdr:cNvPr id="200" name="Picture 5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77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5</xdr:col>
      <xdr:colOff>0</xdr:colOff>
      <xdr:row>401</xdr:row>
      <xdr:rowOff>9525</xdr:rowOff>
    </xdr:to>
    <xdr:pic>
      <xdr:nvPicPr>
        <xdr:cNvPr id="201" name="Picture 5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5</xdr:col>
      <xdr:colOff>0</xdr:colOff>
      <xdr:row>403</xdr:row>
      <xdr:rowOff>9525</xdr:rowOff>
    </xdr:to>
    <xdr:pic>
      <xdr:nvPicPr>
        <xdr:cNvPr id="202" name="Picture 5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5</xdr:col>
      <xdr:colOff>0</xdr:colOff>
      <xdr:row>405</xdr:row>
      <xdr:rowOff>9525</xdr:rowOff>
    </xdr:to>
    <xdr:pic>
      <xdr:nvPicPr>
        <xdr:cNvPr id="203" name="Picture 5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1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5</xdr:col>
      <xdr:colOff>0</xdr:colOff>
      <xdr:row>407</xdr:row>
      <xdr:rowOff>9525</xdr:rowOff>
    </xdr:to>
    <xdr:pic>
      <xdr:nvPicPr>
        <xdr:cNvPr id="204" name="Picture 5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5</xdr:col>
      <xdr:colOff>0</xdr:colOff>
      <xdr:row>409</xdr:row>
      <xdr:rowOff>9525</xdr:rowOff>
    </xdr:to>
    <xdr:pic>
      <xdr:nvPicPr>
        <xdr:cNvPr id="205" name="Picture 5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5</xdr:col>
      <xdr:colOff>0</xdr:colOff>
      <xdr:row>411</xdr:row>
      <xdr:rowOff>9525</xdr:rowOff>
    </xdr:to>
    <xdr:pic>
      <xdr:nvPicPr>
        <xdr:cNvPr id="206" name="Picture 5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5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5</xdr:col>
      <xdr:colOff>0</xdr:colOff>
      <xdr:row>413</xdr:row>
      <xdr:rowOff>9525</xdr:rowOff>
    </xdr:to>
    <xdr:pic>
      <xdr:nvPicPr>
        <xdr:cNvPr id="207" name="Picture 5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3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5</xdr:col>
      <xdr:colOff>0</xdr:colOff>
      <xdr:row>415</xdr:row>
      <xdr:rowOff>9525</xdr:rowOff>
    </xdr:to>
    <xdr:pic>
      <xdr:nvPicPr>
        <xdr:cNvPr id="208" name="Picture 5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1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5</xdr:col>
      <xdr:colOff>0</xdr:colOff>
      <xdr:row>417</xdr:row>
      <xdr:rowOff>9525</xdr:rowOff>
    </xdr:to>
    <xdr:pic>
      <xdr:nvPicPr>
        <xdr:cNvPr id="209" name="Picture 5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5</xdr:col>
      <xdr:colOff>0</xdr:colOff>
      <xdr:row>419</xdr:row>
      <xdr:rowOff>9525</xdr:rowOff>
    </xdr:to>
    <xdr:pic>
      <xdr:nvPicPr>
        <xdr:cNvPr id="210" name="Picture 5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5</xdr:col>
      <xdr:colOff>0</xdr:colOff>
      <xdr:row>421</xdr:row>
      <xdr:rowOff>9525</xdr:rowOff>
    </xdr:to>
    <xdr:pic>
      <xdr:nvPicPr>
        <xdr:cNvPr id="211" name="Picture 5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5</xdr:col>
      <xdr:colOff>0</xdr:colOff>
      <xdr:row>423</xdr:row>
      <xdr:rowOff>9525</xdr:rowOff>
    </xdr:to>
    <xdr:pic>
      <xdr:nvPicPr>
        <xdr:cNvPr id="212" name="Picture 5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5</xdr:col>
      <xdr:colOff>0</xdr:colOff>
      <xdr:row>425</xdr:row>
      <xdr:rowOff>9525</xdr:rowOff>
    </xdr:to>
    <xdr:pic>
      <xdr:nvPicPr>
        <xdr:cNvPr id="213" name="Picture 5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2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5</xdr:col>
      <xdr:colOff>0</xdr:colOff>
      <xdr:row>427</xdr:row>
      <xdr:rowOff>9525</xdr:rowOff>
    </xdr:to>
    <xdr:pic>
      <xdr:nvPicPr>
        <xdr:cNvPr id="214" name="Picture 5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10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5</xdr:col>
      <xdr:colOff>0</xdr:colOff>
      <xdr:row>429</xdr:row>
      <xdr:rowOff>9525</xdr:rowOff>
    </xdr:to>
    <xdr:pic>
      <xdr:nvPicPr>
        <xdr:cNvPr id="215" name="Picture 5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5</xdr:col>
      <xdr:colOff>0</xdr:colOff>
      <xdr:row>431</xdr:row>
      <xdr:rowOff>9525</xdr:rowOff>
    </xdr:to>
    <xdr:pic>
      <xdr:nvPicPr>
        <xdr:cNvPr id="216" name="Picture 5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5</xdr:col>
      <xdr:colOff>0</xdr:colOff>
      <xdr:row>433</xdr:row>
      <xdr:rowOff>9525</xdr:rowOff>
    </xdr:to>
    <xdr:pic>
      <xdr:nvPicPr>
        <xdr:cNvPr id="217" name="Picture 5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24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5</xdr:col>
      <xdr:colOff>0</xdr:colOff>
      <xdr:row>435</xdr:row>
      <xdr:rowOff>9525</xdr:rowOff>
    </xdr:to>
    <xdr:pic>
      <xdr:nvPicPr>
        <xdr:cNvPr id="218" name="Picture 5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5</xdr:col>
      <xdr:colOff>0</xdr:colOff>
      <xdr:row>437</xdr:row>
      <xdr:rowOff>9525</xdr:rowOff>
    </xdr:to>
    <xdr:pic>
      <xdr:nvPicPr>
        <xdr:cNvPr id="219" name="Picture 5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5</xdr:col>
      <xdr:colOff>0</xdr:colOff>
      <xdr:row>439</xdr:row>
      <xdr:rowOff>9525</xdr:rowOff>
    </xdr:to>
    <xdr:pic>
      <xdr:nvPicPr>
        <xdr:cNvPr id="220" name="Picture 5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5</xdr:col>
      <xdr:colOff>0</xdr:colOff>
      <xdr:row>441</xdr:row>
      <xdr:rowOff>9525</xdr:rowOff>
    </xdr:to>
    <xdr:pic>
      <xdr:nvPicPr>
        <xdr:cNvPr id="221" name="Picture 5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5</xdr:col>
      <xdr:colOff>0</xdr:colOff>
      <xdr:row>443</xdr:row>
      <xdr:rowOff>9525</xdr:rowOff>
    </xdr:to>
    <xdr:pic>
      <xdr:nvPicPr>
        <xdr:cNvPr id="222" name="Picture 5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5</xdr:col>
      <xdr:colOff>0</xdr:colOff>
      <xdr:row>445</xdr:row>
      <xdr:rowOff>9525</xdr:rowOff>
    </xdr:to>
    <xdr:pic>
      <xdr:nvPicPr>
        <xdr:cNvPr id="223" name="Picture 55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5</xdr:col>
      <xdr:colOff>0</xdr:colOff>
      <xdr:row>447</xdr:row>
      <xdr:rowOff>9525</xdr:rowOff>
    </xdr:to>
    <xdr:pic>
      <xdr:nvPicPr>
        <xdr:cNvPr id="224" name="Picture 55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5</xdr:col>
      <xdr:colOff>0</xdr:colOff>
      <xdr:row>449</xdr:row>
      <xdr:rowOff>9525</xdr:rowOff>
    </xdr:to>
    <xdr:pic>
      <xdr:nvPicPr>
        <xdr:cNvPr id="225" name="Picture 55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5</xdr:col>
      <xdr:colOff>0</xdr:colOff>
      <xdr:row>451</xdr:row>
      <xdr:rowOff>9525</xdr:rowOff>
    </xdr:to>
    <xdr:pic>
      <xdr:nvPicPr>
        <xdr:cNvPr id="226" name="Picture 55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5</xdr:col>
      <xdr:colOff>0</xdr:colOff>
      <xdr:row>453</xdr:row>
      <xdr:rowOff>9525</xdr:rowOff>
    </xdr:to>
    <xdr:pic>
      <xdr:nvPicPr>
        <xdr:cNvPr id="227" name="Picture 55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5</xdr:col>
      <xdr:colOff>0</xdr:colOff>
      <xdr:row>455</xdr:row>
      <xdr:rowOff>9525</xdr:rowOff>
    </xdr:to>
    <xdr:pic>
      <xdr:nvPicPr>
        <xdr:cNvPr id="228" name="Picture 55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5</xdr:col>
      <xdr:colOff>0</xdr:colOff>
      <xdr:row>457</xdr:row>
      <xdr:rowOff>9525</xdr:rowOff>
    </xdr:to>
    <xdr:pic>
      <xdr:nvPicPr>
        <xdr:cNvPr id="229" name="Picture 55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5</xdr:col>
      <xdr:colOff>0</xdr:colOff>
      <xdr:row>459</xdr:row>
      <xdr:rowOff>9525</xdr:rowOff>
    </xdr:to>
    <xdr:pic>
      <xdr:nvPicPr>
        <xdr:cNvPr id="230" name="Picture 55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5</xdr:col>
      <xdr:colOff>0</xdr:colOff>
      <xdr:row>461</xdr:row>
      <xdr:rowOff>9525</xdr:rowOff>
    </xdr:to>
    <xdr:pic>
      <xdr:nvPicPr>
        <xdr:cNvPr id="231" name="Picture 55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5</xdr:col>
      <xdr:colOff>0</xdr:colOff>
      <xdr:row>463</xdr:row>
      <xdr:rowOff>9525</xdr:rowOff>
    </xdr:to>
    <xdr:pic>
      <xdr:nvPicPr>
        <xdr:cNvPr id="232" name="Picture 55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96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5</xdr:col>
      <xdr:colOff>0</xdr:colOff>
      <xdr:row>465</xdr:row>
      <xdr:rowOff>9525</xdr:rowOff>
    </xdr:to>
    <xdr:pic>
      <xdr:nvPicPr>
        <xdr:cNvPr id="233" name="Picture 56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5</xdr:col>
      <xdr:colOff>0</xdr:colOff>
      <xdr:row>467</xdr:row>
      <xdr:rowOff>9525</xdr:rowOff>
    </xdr:to>
    <xdr:pic>
      <xdr:nvPicPr>
        <xdr:cNvPr id="234" name="Picture 56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5</xdr:col>
      <xdr:colOff>0</xdr:colOff>
      <xdr:row>469</xdr:row>
      <xdr:rowOff>9525</xdr:rowOff>
    </xdr:to>
    <xdr:pic>
      <xdr:nvPicPr>
        <xdr:cNvPr id="235" name="Picture 56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10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5</xdr:col>
      <xdr:colOff>0</xdr:colOff>
      <xdr:row>471</xdr:row>
      <xdr:rowOff>9525</xdr:rowOff>
    </xdr:to>
    <xdr:pic>
      <xdr:nvPicPr>
        <xdr:cNvPr id="236" name="Picture 56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5</xdr:col>
      <xdr:colOff>0</xdr:colOff>
      <xdr:row>473</xdr:row>
      <xdr:rowOff>9525</xdr:rowOff>
    </xdr:to>
    <xdr:pic>
      <xdr:nvPicPr>
        <xdr:cNvPr id="237" name="Picture 56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5</xdr:col>
      <xdr:colOff>0</xdr:colOff>
      <xdr:row>475</xdr:row>
      <xdr:rowOff>9525</xdr:rowOff>
    </xdr:to>
    <xdr:pic>
      <xdr:nvPicPr>
        <xdr:cNvPr id="238" name="Picture 56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4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5</xdr:col>
      <xdr:colOff>0</xdr:colOff>
      <xdr:row>477</xdr:row>
      <xdr:rowOff>9525</xdr:rowOff>
    </xdr:to>
    <xdr:pic>
      <xdr:nvPicPr>
        <xdr:cNvPr id="239" name="Picture 56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5</xdr:col>
      <xdr:colOff>0</xdr:colOff>
      <xdr:row>479</xdr:row>
      <xdr:rowOff>9525</xdr:rowOff>
    </xdr:to>
    <xdr:pic>
      <xdr:nvPicPr>
        <xdr:cNvPr id="240" name="Picture 56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01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5</xdr:col>
      <xdr:colOff>0</xdr:colOff>
      <xdr:row>481</xdr:row>
      <xdr:rowOff>9525</xdr:rowOff>
    </xdr:to>
    <xdr:pic>
      <xdr:nvPicPr>
        <xdr:cNvPr id="241" name="Picture 56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5</xdr:col>
      <xdr:colOff>0</xdr:colOff>
      <xdr:row>483</xdr:row>
      <xdr:rowOff>9525</xdr:rowOff>
    </xdr:to>
    <xdr:pic>
      <xdr:nvPicPr>
        <xdr:cNvPr id="242" name="Picture 56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5</xdr:col>
      <xdr:colOff>0</xdr:colOff>
      <xdr:row>485</xdr:row>
      <xdr:rowOff>9525</xdr:rowOff>
    </xdr:to>
    <xdr:pic>
      <xdr:nvPicPr>
        <xdr:cNvPr id="243" name="Picture 57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5</xdr:col>
      <xdr:colOff>0</xdr:colOff>
      <xdr:row>487</xdr:row>
      <xdr:rowOff>9525</xdr:rowOff>
    </xdr:to>
    <xdr:pic>
      <xdr:nvPicPr>
        <xdr:cNvPr id="244" name="Picture 57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5</xdr:col>
      <xdr:colOff>0</xdr:colOff>
      <xdr:row>489</xdr:row>
      <xdr:rowOff>9525</xdr:rowOff>
    </xdr:to>
    <xdr:pic>
      <xdr:nvPicPr>
        <xdr:cNvPr id="245" name="Picture 57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5</xdr:col>
      <xdr:colOff>0</xdr:colOff>
      <xdr:row>491</xdr:row>
      <xdr:rowOff>9525</xdr:rowOff>
    </xdr:to>
    <xdr:pic>
      <xdr:nvPicPr>
        <xdr:cNvPr id="246" name="Picture 57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5</xdr:col>
      <xdr:colOff>0</xdr:colOff>
      <xdr:row>493</xdr:row>
      <xdr:rowOff>9525</xdr:rowOff>
    </xdr:to>
    <xdr:pic>
      <xdr:nvPicPr>
        <xdr:cNvPr id="247" name="Picture 57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5</xdr:col>
      <xdr:colOff>0</xdr:colOff>
      <xdr:row>495</xdr:row>
      <xdr:rowOff>9525</xdr:rowOff>
    </xdr:to>
    <xdr:pic>
      <xdr:nvPicPr>
        <xdr:cNvPr id="248" name="Picture 57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5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5</xdr:col>
      <xdr:colOff>0</xdr:colOff>
      <xdr:row>497</xdr:row>
      <xdr:rowOff>9525</xdr:rowOff>
    </xdr:to>
    <xdr:pic>
      <xdr:nvPicPr>
        <xdr:cNvPr id="249" name="Picture 57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44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5</xdr:col>
      <xdr:colOff>0</xdr:colOff>
      <xdr:row>499</xdr:row>
      <xdr:rowOff>9525</xdr:rowOff>
    </xdr:to>
    <xdr:pic>
      <xdr:nvPicPr>
        <xdr:cNvPr id="250" name="Picture 57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5</xdr:col>
      <xdr:colOff>0</xdr:colOff>
      <xdr:row>501</xdr:row>
      <xdr:rowOff>9525</xdr:rowOff>
    </xdr:to>
    <xdr:pic>
      <xdr:nvPicPr>
        <xdr:cNvPr id="251" name="Picture 57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5</xdr:col>
      <xdr:colOff>0</xdr:colOff>
      <xdr:row>503</xdr:row>
      <xdr:rowOff>9525</xdr:rowOff>
    </xdr:to>
    <xdr:pic>
      <xdr:nvPicPr>
        <xdr:cNvPr id="252" name="Picture 57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5</xdr:col>
      <xdr:colOff>0</xdr:colOff>
      <xdr:row>505</xdr:row>
      <xdr:rowOff>9525</xdr:rowOff>
    </xdr:to>
    <xdr:pic>
      <xdr:nvPicPr>
        <xdr:cNvPr id="253" name="Picture 58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6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5</xdr:col>
      <xdr:colOff>0</xdr:colOff>
      <xdr:row>507</xdr:row>
      <xdr:rowOff>9525</xdr:rowOff>
    </xdr:to>
    <xdr:pic>
      <xdr:nvPicPr>
        <xdr:cNvPr id="254" name="Picture 58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5</xdr:col>
      <xdr:colOff>0</xdr:colOff>
      <xdr:row>509</xdr:row>
      <xdr:rowOff>9525</xdr:rowOff>
    </xdr:to>
    <xdr:pic>
      <xdr:nvPicPr>
        <xdr:cNvPr id="255" name="Picture 58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5</xdr:col>
      <xdr:colOff>0</xdr:colOff>
      <xdr:row>511</xdr:row>
      <xdr:rowOff>9525</xdr:rowOff>
    </xdr:to>
    <xdr:pic>
      <xdr:nvPicPr>
        <xdr:cNvPr id="256" name="Picture 58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5</xdr:col>
      <xdr:colOff>0</xdr:colOff>
      <xdr:row>513</xdr:row>
      <xdr:rowOff>9525</xdr:rowOff>
    </xdr:to>
    <xdr:pic>
      <xdr:nvPicPr>
        <xdr:cNvPr id="257" name="Picture 58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5</xdr:col>
      <xdr:colOff>0</xdr:colOff>
      <xdr:row>515</xdr:row>
      <xdr:rowOff>9525</xdr:rowOff>
    </xdr:to>
    <xdr:pic>
      <xdr:nvPicPr>
        <xdr:cNvPr id="258" name="Picture 58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5</xdr:col>
      <xdr:colOff>0</xdr:colOff>
      <xdr:row>517</xdr:row>
      <xdr:rowOff>9525</xdr:rowOff>
    </xdr:to>
    <xdr:pic>
      <xdr:nvPicPr>
        <xdr:cNvPr id="259" name="Picture 58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25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5</xdr:col>
      <xdr:colOff>0</xdr:colOff>
      <xdr:row>519</xdr:row>
      <xdr:rowOff>9525</xdr:rowOff>
    </xdr:to>
    <xdr:pic>
      <xdr:nvPicPr>
        <xdr:cNvPr id="260" name="Picture 58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5</xdr:col>
      <xdr:colOff>0</xdr:colOff>
      <xdr:row>521</xdr:row>
      <xdr:rowOff>9525</xdr:rowOff>
    </xdr:to>
    <xdr:pic>
      <xdr:nvPicPr>
        <xdr:cNvPr id="261" name="Picture 58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5</xdr:col>
      <xdr:colOff>0</xdr:colOff>
      <xdr:row>523</xdr:row>
      <xdr:rowOff>9525</xdr:rowOff>
    </xdr:to>
    <xdr:pic>
      <xdr:nvPicPr>
        <xdr:cNvPr id="262" name="Picture 58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5</xdr:col>
      <xdr:colOff>0</xdr:colOff>
      <xdr:row>525</xdr:row>
      <xdr:rowOff>9525</xdr:rowOff>
    </xdr:to>
    <xdr:pic>
      <xdr:nvPicPr>
        <xdr:cNvPr id="263" name="Picture 59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77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5</xdr:col>
      <xdr:colOff>0</xdr:colOff>
      <xdr:row>527</xdr:row>
      <xdr:rowOff>9525</xdr:rowOff>
    </xdr:to>
    <xdr:pic>
      <xdr:nvPicPr>
        <xdr:cNvPr id="264" name="Picture 59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5</xdr:col>
      <xdr:colOff>0</xdr:colOff>
      <xdr:row>529</xdr:row>
      <xdr:rowOff>9525</xdr:rowOff>
    </xdr:to>
    <xdr:pic>
      <xdr:nvPicPr>
        <xdr:cNvPr id="265" name="Picture 59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5</xdr:col>
      <xdr:colOff>0</xdr:colOff>
      <xdr:row>531</xdr:row>
      <xdr:rowOff>9525</xdr:rowOff>
    </xdr:to>
    <xdr:pic>
      <xdr:nvPicPr>
        <xdr:cNvPr id="266" name="Picture 59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5</xdr:col>
      <xdr:colOff>0</xdr:colOff>
      <xdr:row>533</xdr:row>
      <xdr:rowOff>9525</xdr:rowOff>
    </xdr:to>
    <xdr:pic>
      <xdr:nvPicPr>
        <xdr:cNvPr id="267" name="Picture 59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5</xdr:col>
      <xdr:colOff>0</xdr:colOff>
      <xdr:row>535</xdr:row>
      <xdr:rowOff>9525</xdr:rowOff>
    </xdr:to>
    <xdr:pic>
      <xdr:nvPicPr>
        <xdr:cNvPr id="268" name="Picture 59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5</xdr:col>
      <xdr:colOff>0</xdr:colOff>
      <xdr:row>537</xdr:row>
      <xdr:rowOff>9525</xdr:rowOff>
    </xdr:to>
    <xdr:pic>
      <xdr:nvPicPr>
        <xdr:cNvPr id="269" name="Picture 59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5</xdr:col>
      <xdr:colOff>0</xdr:colOff>
      <xdr:row>539</xdr:row>
      <xdr:rowOff>9525</xdr:rowOff>
    </xdr:to>
    <xdr:pic>
      <xdr:nvPicPr>
        <xdr:cNvPr id="270" name="Picture 59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44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5</xdr:col>
      <xdr:colOff>0</xdr:colOff>
      <xdr:row>541</xdr:row>
      <xdr:rowOff>9525</xdr:rowOff>
    </xdr:to>
    <xdr:pic>
      <xdr:nvPicPr>
        <xdr:cNvPr id="271" name="Picture 59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5</xdr:col>
      <xdr:colOff>0</xdr:colOff>
      <xdr:row>543</xdr:row>
      <xdr:rowOff>9525</xdr:rowOff>
    </xdr:to>
    <xdr:pic>
      <xdr:nvPicPr>
        <xdr:cNvPr id="272" name="Picture 59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5</xdr:col>
      <xdr:colOff>0</xdr:colOff>
      <xdr:row>545</xdr:row>
      <xdr:rowOff>9525</xdr:rowOff>
    </xdr:to>
    <xdr:pic>
      <xdr:nvPicPr>
        <xdr:cNvPr id="273" name="Picture 60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58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5</xdr:col>
      <xdr:colOff>0</xdr:colOff>
      <xdr:row>547</xdr:row>
      <xdr:rowOff>9525</xdr:rowOff>
    </xdr:to>
    <xdr:pic>
      <xdr:nvPicPr>
        <xdr:cNvPr id="274" name="Picture 60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96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5</xdr:col>
      <xdr:colOff>0</xdr:colOff>
      <xdr:row>549</xdr:row>
      <xdr:rowOff>9525</xdr:rowOff>
    </xdr:to>
    <xdr:pic>
      <xdr:nvPicPr>
        <xdr:cNvPr id="275" name="Picture 60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5</xdr:col>
      <xdr:colOff>0</xdr:colOff>
      <xdr:row>551</xdr:row>
      <xdr:rowOff>9525</xdr:rowOff>
    </xdr:to>
    <xdr:pic>
      <xdr:nvPicPr>
        <xdr:cNvPr id="276" name="Picture 60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5</xdr:col>
      <xdr:colOff>0</xdr:colOff>
      <xdr:row>553</xdr:row>
      <xdr:rowOff>9525</xdr:rowOff>
    </xdr:to>
    <xdr:pic>
      <xdr:nvPicPr>
        <xdr:cNvPr id="277" name="Picture 60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10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5</xdr:col>
      <xdr:colOff>0</xdr:colOff>
      <xdr:row>555</xdr:row>
      <xdr:rowOff>9525</xdr:rowOff>
    </xdr:to>
    <xdr:pic>
      <xdr:nvPicPr>
        <xdr:cNvPr id="278" name="Picture 60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48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5</xdr:col>
      <xdr:colOff>0</xdr:colOff>
      <xdr:row>557</xdr:row>
      <xdr:rowOff>9525</xdr:rowOff>
    </xdr:to>
    <xdr:pic>
      <xdr:nvPicPr>
        <xdr:cNvPr id="279" name="Picture 60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5</xdr:col>
      <xdr:colOff>0</xdr:colOff>
      <xdr:row>559</xdr:row>
      <xdr:rowOff>9525</xdr:rowOff>
    </xdr:to>
    <xdr:pic>
      <xdr:nvPicPr>
        <xdr:cNvPr id="280" name="Picture 60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5</xdr:col>
      <xdr:colOff>0</xdr:colOff>
      <xdr:row>561</xdr:row>
      <xdr:rowOff>9525</xdr:rowOff>
    </xdr:to>
    <xdr:pic>
      <xdr:nvPicPr>
        <xdr:cNvPr id="281" name="Picture 60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5</xdr:col>
      <xdr:colOff>0</xdr:colOff>
      <xdr:row>563</xdr:row>
      <xdr:rowOff>9525</xdr:rowOff>
    </xdr:to>
    <xdr:pic>
      <xdr:nvPicPr>
        <xdr:cNvPr id="282" name="Picture 60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5</xdr:col>
      <xdr:colOff>0</xdr:colOff>
      <xdr:row>565</xdr:row>
      <xdr:rowOff>9525</xdr:rowOff>
    </xdr:to>
    <xdr:pic>
      <xdr:nvPicPr>
        <xdr:cNvPr id="283" name="Picture 61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39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5</xdr:col>
      <xdr:colOff>0</xdr:colOff>
      <xdr:row>567</xdr:row>
      <xdr:rowOff>9525</xdr:rowOff>
    </xdr:to>
    <xdr:pic>
      <xdr:nvPicPr>
        <xdr:cNvPr id="284" name="Picture 61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5</xdr:col>
      <xdr:colOff>0</xdr:colOff>
      <xdr:row>569</xdr:row>
      <xdr:rowOff>9525</xdr:rowOff>
    </xdr:to>
    <xdr:pic>
      <xdr:nvPicPr>
        <xdr:cNvPr id="285" name="Picture 61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5</xdr:col>
      <xdr:colOff>0</xdr:colOff>
      <xdr:row>571</xdr:row>
      <xdr:rowOff>9525</xdr:rowOff>
    </xdr:to>
    <xdr:pic>
      <xdr:nvPicPr>
        <xdr:cNvPr id="286" name="Picture 61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5</xdr:col>
      <xdr:colOff>0</xdr:colOff>
      <xdr:row>573</xdr:row>
      <xdr:rowOff>9525</xdr:rowOff>
    </xdr:to>
    <xdr:pic>
      <xdr:nvPicPr>
        <xdr:cNvPr id="287" name="Picture 61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91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5</xdr:col>
      <xdr:colOff>0</xdr:colOff>
      <xdr:row>575</xdr:row>
      <xdr:rowOff>9525</xdr:rowOff>
    </xdr:to>
    <xdr:pic>
      <xdr:nvPicPr>
        <xdr:cNvPr id="288" name="Picture 61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9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5</xdr:col>
      <xdr:colOff>0</xdr:colOff>
      <xdr:row>577</xdr:row>
      <xdr:rowOff>9525</xdr:rowOff>
    </xdr:to>
    <xdr:pic>
      <xdr:nvPicPr>
        <xdr:cNvPr id="289" name="Picture 61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8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5</xdr:col>
      <xdr:colOff>0</xdr:colOff>
      <xdr:row>579</xdr:row>
      <xdr:rowOff>9525</xdr:rowOff>
    </xdr:to>
    <xdr:pic>
      <xdr:nvPicPr>
        <xdr:cNvPr id="290" name="Picture 61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5</xdr:col>
      <xdr:colOff>0</xdr:colOff>
      <xdr:row>581</xdr:row>
      <xdr:rowOff>9525</xdr:rowOff>
    </xdr:to>
    <xdr:pic>
      <xdr:nvPicPr>
        <xdr:cNvPr id="291" name="Picture 61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5</xdr:col>
      <xdr:colOff>0</xdr:colOff>
      <xdr:row>583</xdr:row>
      <xdr:rowOff>9525</xdr:rowOff>
    </xdr:to>
    <xdr:pic>
      <xdr:nvPicPr>
        <xdr:cNvPr id="292" name="Picture 61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5</xdr:col>
      <xdr:colOff>0</xdr:colOff>
      <xdr:row>585</xdr:row>
      <xdr:rowOff>9525</xdr:rowOff>
    </xdr:to>
    <xdr:pic>
      <xdr:nvPicPr>
        <xdr:cNvPr id="293" name="Picture 62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5</xdr:col>
      <xdr:colOff>0</xdr:colOff>
      <xdr:row>587</xdr:row>
      <xdr:rowOff>9525</xdr:rowOff>
    </xdr:to>
    <xdr:pic>
      <xdr:nvPicPr>
        <xdr:cNvPr id="294" name="Picture 62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5</xdr:col>
      <xdr:colOff>0</xdr:colOff>
      <xdr:row>589</xdr:row>
      <xdr:rowOff>9525</xdr:rowOff>
    </xdr:to>
    <xdr:pic>
      <xdr:nvPicPr>
        <xdr:cNvPr id="295" name="Picture 62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96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5</xdr:col>
      <xdr:colOff>0</xdr:colOff>
      <xdr:row>591</xdr:row>
      <xdr:rowOff>9525</xdr:rowOff>
    </xdr:to>
    <xdr:pic>
      <xdr:nvPicPr>
        <xdr:cNvPr id="296" name="Picture 62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5</xdr:col>
      <xdr:colOff>0</xdr:colOff>
      <xdr:row>593</xdr:row>
      <xdr:rowOff>9525</xdr:rowOff>
    </xdr:to>
    <xdr:pic>
      <xdr:nvPicPr>
        <xdr:cNvPr id="297" name="Picture 62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72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5</xdr:col>
      <xdr:colOff>0</xdr:colOff>
      <xdr:row>595</xdr:row>
      <xdr:rowOff>9525</xdr:rowOff>
    </xdr:to>
    <xdr:pic>
      <xdr:nvPicPr>
        <xdr:cNvPr id="298" name="Picture 62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10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5</xdr:col>
      <xdr:colOff>0</xdr:colOff>
      <xdr:row>597</xdr:row>
      <xdr:rowOff>9525</xdr:rowOff>
    </xdr:to>
    <xdr:pic>
      <xdr:nvPicPr>
        <xdr:cNvPr id="299" name="Picture 62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49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5</xdr:col>
      <xdr:colOff>0</xdr:colOff>
      <xdr:row>599</xdr:row>
      <xdr:rowOff>9525</xdr:rowOff>
    </xdr:to>
    <xdr:pic>
      <xdr:nvPicPr>
        <xdr:cNvPr id="300" name="Picture 62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87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5</xdr:col>
      <xdr:colOff>0</xdr:colOff>
      <xdr:row>601</xdr:row>
      <xdr:rowOff>9525</xdr:rowOff>
    </xdr:to>
    <xdr:pic>
      <xdr:nvPicPr>
        <xdr:cNvPr id="301" name="Picture 62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5</xdr:col>
      <xdr:colOff>0</xdr:colOff>
      <xdr:row>603</xdr:row>
      <xdr:rowOff>9525</xdr:rowOff>
    </xdr:to>
    <xdr:pic>
      <xdr:nvPicPr>
        <xdr:cNvPr id="302" name="Picture 62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63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5</xdr:col>
      <xdr:colOff>0</xdr:colOff>
      <xdr:row>605</xdr:row>
      <xdr:rowOff>9525</xdr:rowOff>
    </xdr:to>
    <xdr:pic>
      <xdr:nvPicPr>
        <xdr:cNvPr id="303" name="Picture 63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1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5</xdr:col>
      <xdr:colOff>0</xdr:colOff>
      <xdr:row>607</xdr:row>
      <xdr:rowOff>9525</xdr:rowOff>
    </xdr:to>
    <xdr:pic>
      <xdr:nvPicPr>
        <xdr:cNvPr id="304" name="Picture 63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5</xdr:col>
      <xdr:colOff>0</xdr:colOff>
      <xdr:row>609</xdr:row>
      <xdr:rowOff>9525</xdr:rowOff>
    </xdr:to>
    <xdr:pic>
      <xdr:nvPicPr>
        <xdr:cNvPr id="305" name="Picture 63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7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5</xdr:col>
      <xdr:colOff>0</xdr:colOff>
      <xdr:row>611</xdr:row>
      <xdr:rowOff>9525</xdr:rowOff>
    </xdr:to>
    <xdr:pic>
      <xdr:nvPicPr>
        <xdr:cNvPr id="306" name="Picture 63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5</xdr:col>
      <xdr:colOff>0</xdr:colOff>
      <xdr:row>613</xdr:row>
      <xdr:rowOff>9525</xdr:rowOff>
    </xdr:to>
    <xdr:pic>
      <xdr:nvPicPr>
        <xdr:cNvPr id="307" name="Picture 63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5</xdr:col>
      <xdr:colOff>0</xdr:colOff>
      <xdr:row>615</xdr:row>
      <xdr:rowOff>9525</xdr:rowOff>
    </xdr:to>
    <xdr:pic>
      <xdr:nvPicPr>
        <xdr:cNvPr id="308" name="Picture 63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1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5</xdr:col>
      <xdr:colOff>0</xdr:colOff>
      <xdr:row>617</xdr:row>
      <xdr:rowOff>9525</xdr:rowOff>
    </xdr:to>
    <xdr:pic>
      <xdr:nvPicPr>
        <xdr:cNvPr id="309" name="Picture 63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5</xdr:col>
      <xdr:colOff>0</xdr:colOff>
      <xdr:row>619</xdr:row>
      <xdr:rowOff>9525</xdr:rowOff>
    </xdr:to>
    <xdr:pic>
      <xdr:nvPicPr>
        <xdr:cNvPr id="310" name="Picture 63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8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5</xdr:col>
      <xdr:colOff>0</xdr:colOff>
      <xdr:row>621</xdr:row>
      <xdr:rowOff>9525</xdr:rowOff>
    </xdr:to>
    <xdr:pic>
      <xdr:nvPicPr>
        <xdr:cNvPr id="311" name="Picture 63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5</xdr:col>
      <xdr:colOff>0</xdr:colOff>
      <xdr:row>623</xdr:row>
      <xdr:rowOff>9525</xdr:rowOff>
    </xdr:to>
    <xdr:pic>
      <xdr:nvPicPr>
        <xdr:cNvPr id="312" name="Picture 63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44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5</xdr:col>
      <xdr:colOff>0</xdr:colOff>
      <xdr:row>625</xdr:row>
      <xdr:rowOff>9525</xdr:rowOff>
    </xdr:to>
    <xdr:pic>
      <xdr:nvPicPr>
        <xdr:cNvPr id="313" name="Picture 640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5</xdr:col>
      <xdr:colOff>0</xdr:colOff>
      <xdr:row>627</xdr:row>
      <xdr:rowOff>9525</xdr:rowOff>
    </xdr:to>
    <xdr:pic>
      <xdr:nvPicPr>
        <xdr:cNvPr id="314" name="Picture 641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5</xdr:col>
      <xdr:colOff>0</xdr:colOff>
      <xdr:row>629</xdr:row>
      <xdr:rowOff>9525</xdr:rowOff>
    </xdr:to>
    <xdr:pic>
      <xdr:nvPicPr>
        <xdr:cNvPr id="315" name="Picture 642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5</xdr:col>
      <xdr:colOff>0</xdr:colOff>
      <xdr:row>631</xdr:row>
      <xdr:rowOff>9525</xdr:rowOff>
    </xdr:to>
    <xdr:pic>
      <xdr:nvPicPr>
        <xdr:cNvPr id="316" name="Picture 643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5</xdr:col>
      <xdr:colOff>0</xdr:colOff>
      <xdr:row>633</xdr:row>
      <xdr:rowOff>9525</xdr:rowOff>
    </xdr:to>
    <xdr:pic>
      <xdr:nvPicPr>
        <xdr:cNvPr id="317" name="Picture 644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348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5</xdr:col>
      <xdr:colOff>0</xdr:colOff>
      <xdr:row>635</xdr:row>
      <xdr:rowOff>9525</xdr:rowOff>
    </xdr:to>
    <xdr:pic>
      <xdr:nvPicPr>
        <xdr:cNvPr id="318" name="Picture 645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729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5</xdr:col>
      <xdr:colOff>0</xdr:colOff>
      <xdr:row>637</xdr:row>
      <xdr:rowOff>9525</xdr:rowOff>
    </xdr:to>
    <xdr:pic>
      <xdr:nvPicPr>
        <xdr:cNvPr id="319" name="Picture 646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110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5</xdr:col>
      <xdr:colOff>0</xdr:colOff>
      <xdr:row>639</xdr:row>
      <xdr:rowOff>9525</xdr:rowOff>
    </xdr:to>
    <xdr:pic>
      <xdr:nvPicPr>
        <xdr:cNvPr id="320" name="Picture 647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491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5</xdr:col>
      <xdr:colOff>0</xdr:colOff>
      <xdr:row>641</xdr:row>
      <xdr:rowOff>9525</xdr:rowOff>
    </xdr:to>
    <xdr:pic>
      <xdr:nvPicPr>
        <xdr:cNvPr id="321" name="Picture 648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5</xdr:col>
      <xdr:colOff>0</xdr:colOff>
      <xdr:row>643</xdr:row>
      <xdr:rowOff>9525</xdr:rowOff>
    </xdr:to>
    <xdr:pic>
      <xdr:nvPicPr>
        <xdr:cNvPr id="322" name="Picture 649" descr="http://baremes.mdp/images/fo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2535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YZ%20Comment%20&#231;a%20marche\VAD-SACDP-2017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FOOD%20TRUCK\REDEVANCES\base%20de%20donn&#233;es%2002_07_15%20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sdde-bcns-voie-publique\POLE%20DES%20EVENEMENTS%20ET%20DES%20EXPERIMENTATIONS\VAD%20INSTRUCTION\VAD%202017\05-2017\2017-05-19-1684\1FORMULAIRE%20VAD-168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CA"/>
      <sheetName val="EDOUARD"/>
      <sheetName val="FARDEAU"/>
      <sheetName val="PINTO"/>
      <sheetName val="ROMME"/>
      <sheetName val="Feuil1"/>
      <sheetName val="VAD 2017"/>
      <sheetName val="INFOS"/>
      <sheetName val="OUTILS"/>
      <sheetName val="Grille IND"/>
      <sheetName val="CONVENTIONS"/>
      <sheetName val="REFUS OP"/>
      <sheetName val="MARCHES DE NOEL"/>
    </sheetNames>
    <sheetDataSet>
      <sheetData sheetId="7">
        <row r="5">
          <cell r="A5" t="str">
            <v>AJAX Roselyne</v>
          </cell>
        </row>
        <row r="6">
          <cell r="A6" t="str">
            <v>BADIER Nathalie</v>
          </cell>
        </row>
        <row r="7">
          <cell r="A7" t="str">
            <v>BATEJAT Vincent</v>
          </cell>
        </row>
        <row r="8">
          <cell r="A8" t="str">
            <v>BECHE Christophe</v>
          </cell>
        </row>
        <row r="9">
          <cell r="A9" t="str">
            <v>BERTHET Louis</v>
          </cell>
        </row>
        <row r="10">
          <cell r="A10" t="str">
            <v>BIJAULT Valérie</v>
          </cell>
        </row>
        <row r="11">
          <cell r="A11" t="str">
            <v>BOUCHE Michel</v>
          </cell>
        </row>
        <row r="12">
          <cell r="A12" t="str">
            <v>BRADAMANTIS Betty</v>
          </cell>
        </row>
        <row r="13">
          <cell r="A13" t="str">
            <v>BRUNET Mireille</v>
          </cell>
        </row>
        <row r="14">
          <cell r="A14" t="str">
            <v>BUABUBI Tania</v>
          </cell>
        </row>
        <row r="15">
          <cell r="A15" t="str">
            <v>CABARET Mickaële</v>
          </cell>
        </row>
        <row r="16">
          <cell r="A16" t="str">
            <v>CHENITI Havat</v>
          </cell>
        </row>
        <row r="17">
          <cell r="A17" t="str">
            <v>CHICA François</v>
          </cell>
        </row>
        <row r="18">
          <cell r="A18" t="str">
            <v>COUSTY Mireille</v>
          </cell>
        </row>
        <row r="19">
          <cell r="A19" t="str">
            <v>DESCHAMPS Christian</v>
          </cell>
        </row>
        <row r="20">
          <cell r="A20" t="str">
            <v>DESCOT Paulette</v>
          </cell>
        </row>
        <row r="21">
          <cell r="A21" t="str">
            <v>DEVAUX Katia</v>
          </cell>
        </row>
        <row r="22">
          <cell r="A22" t="str">
            <v>D'ERFURTH Frédéric</v>
          </cell>
        </row>
        <row r="23">
          <cell r="A23" t="str">
            <v>FARDEAU Anne</v>
          </cell>
        </row>
        <row r="24">
          <cell r="A24" t="str">
            <v>GAUTHIER Nadine</v>
          </cell>
        </row>
        <row r="25">
          <cell r="A25" t="str">
            <v>GUILLARD Nadia</v>
          </cell>
        </row>
        <row r="26">
          <cell r="A26" t="str">
            <v>HAMIDOU Faouzia</v>
          </cell>
        </row>
        <row r="27">
          <cell r="A27" t="str">
            <v>HAYET Pascal</v>
          </cell>
        </row>
        <row r="28">
          <cell r="A28" t="str">
            <v>HAYET Sabine</v>
          </cell>
        </row>
        <row r="29">
          <cell r="A29" t="str">
            <v>HERBULOT Murielle</v>
          </cell>
        </row>
        <row r="30">
          <cell r="A30" t="str">
            <v>JOASSIN Bruno</v>
          </cell>
        </row>
        <row r="31">
          <cell r="A31" t="str">
            <v>KHOUKHI Fatima</v>
          </cell>
        </row>
        <row r="32">
          <cell r="A32" t="str">
            <v>MENDES Fernanda</v>
          </cell>
        </row>
        <row r="33">
          <cell r="A33" t="str">
            <v>PEREZ ALVAREZ Maria Dolores</v>
          </cell>
        </row>
        <row r="34">
          <cell r="A34" t="str">
            <v>PICARD Gilles</v>
          </cell>
        </row>
        <row r="35">
          <cell r="A35" t="str">
            <v>PINTO Daniel</v>
          </cell>
        </row>
        <row r="36">
          <cell r="A36" t="str">
            <v>ROMME Julien</v>
          </cell>
        </row>
        <row r="37">
          <cell r="A37" t="str">
            <v>RONXIN Natacha</v>
          </cell>
        </row>
        <row r="38">
          <cell r="A38" t="str">
            <v>TALEB-BENDIAB Lila</v>
          </cell>
        </row>
        <row r="39">
          <cell r="A39" t="str">
            <v>TAMBADOU Souaïbo</v>
          </cell>
        </row>
        <row r="40">
          <cell r="A40" t="str">
            <v>XAVIER Patrice</v>
          </cell>
        </row>
        <row r="41">
          <cell r="A41" t="str">
            <v>ZANETTI Patricia</v>
          </cell>
        </row>
        <row r="42">
          <cell r="A42" t="str">
            <v>ROUSSEAU Laetitia</v>
          </cell>
        </row>
      </sheetData>
      <sheetData sheetId="8">
        <row r="5">
          <cell r="A5" t="str">
            <v>TITULAIRE</v>
          </cell>
          <cell r="B5" t="str">
            <v>Adjoint administratif</v>
          </cell>
          <cell r="C5" t="str">
            <v>1ère classe</v>
          </cell>
          <cell r="D5" t="str">
            <v>Fixe</v>
          </cell>
          <cell r="E5" t="str">
            <v>Chef d'établissement</v>
          </cell>
          <cell r="F5" t="str">
            <v>Accueil/régie</v>
          </cell>
        </row>
        <row r="6">
          <cell r="A6" t="str">
            <v>STAGIAIRE</v>
          </cell>
          <cell r="B6" t="str">
            <v>Agent de Logistique Générale</v>
          </cell>
          <cell r="C6" t="str">
            <v>2ème classe</v>
          </cell>
          <cell r="D6" t="str">
            <v>Variable</v>
          </cell>
          <cell r="E6" t="str">
            <v>Guide  </v>
          </cell>
          <cell r="F6" t="str">
            <v>Cabinet des élus</v>
          </cell>
        </row>
        <row r="7">
          <cell r="A7" t="str">
            <v>CONCTRACTUEL/LE</v>
          </cell>
          <cell r="B7" t="str">
            <v>Agent hors effectif</v>
          </cell>
          <cell r="C7" t="str">
            <v>Cl. Normale</v>
          </cell>
          <cell r="E7" t="str">
            <v>Guide suppléant</v>
          </cell>
          <cell r="F7" t="str">
            <v>Cabinet du Maire</v>
          </cell>
        </row>
        <row r="8">
          <cell r="A8" t="str">
            <v>RETRAITE</v>
          </cell>
          <cell r="B8" t="str">
            <v>Attaché</v>
          </cell>
          <cell r="C8" t="str">
            <v>Cl. Supérieure</v>
          </cell>
          <cell r="E8" t="str">
            <v>Guide file / serre file</v>
          </cell>
          <cell r="F8" t="str">
            <v>Etat spécial</v>
          </cell>
        </row>
        <row r="9">
          <cell r="A9" t="str">
            <v>CUI</v>
          </cell>
          <cell r="B9" t="str">
            <v>Secrétaire administratif</v>
          </cell>
          <cell r="C9" t="str">
            <v>Cl. Exceptionnelle</v>
          </cell>
          <cell r="E9" t="str">
            <v>Serre file</v>
          </cell>
          <cell r="F9" t="str">
            <v>Mairie du 7ème</v>
          </cell>
        </row>
        <row r="10">
          <cell r="A10" t="str">
            <v>CONTRAT D'AVENIR</v>
          </cell>
          <cell r="B10" t="str">
            <v>Technicien S.O (Logistique)</v>
          </cell>
          <cell r="C10" t="str">
            <v>Principal</v>
          </cell>
          <cell r="E10" t="str">
            <v>Serre file suppléant</v>
          </cell>
          <cell r="F10" t="str">
            <v>Pôle Population</v>
          </cell>
        </row>
        <row r="11">
          <cell r="A11" t="str">
            <v>DÉTACHEMENT</v>
          </cell>
          <cell r="C11" t="str">
            <v>Principal 1ère</v>
          </cell>
          <cell r="F11" t="str">
            <v>Service intérieur 1</v>
          </cell>
        </row>
        <row r="12">
          <cell r="C12" t="str">
            <v>Principal 2ème</v>
          </cell>
          <cell r="F12" t="str">
            <v>Service intérieur 2</v>
          </cell>
        </row>
        <row r="13">
          <cell r="F13" t="str">
            <v>Service Intérieur 3</v>
          </cell>
        </row>
        <row r="14">
          <cell r="F14" t="str">
            <v>CODE</v>
          </cell>
        </row>
        <row r="15">
          <cell r="E15" t="str">
            <v>Animations de quartier</v>
          </cell>
          <cell r="F15">
            <v>400</v>
          </cell>
        </row>
        <row r="16">
          <cell r="E16" t="str">
            <v>CCQ Ecole Militaire</v>
          </cell>
          <cell r="F16">
            <v>401</v>
          </cell>
        </row>
        <row r="17">
          <cell r="E17" t="str">
            <v>CCQ Gros Caillou</v>
          </cell>
          <cell r="F17">
            <v>402</v>
          </cell>
        </row>
        <row r="18">
          <cell r="E18" t="str">
            <v>CCQ Invalides</v>
          </cell>
          <cell r="F18">
            <v>403</v>
          </cell>
        </row>
        <row r="19">
          <cell r="E19" t="str">
            <v>CCQ Saint Thomas d'Acquin</v>
          </cell>
          <cell r="F19">
            <v>658</v>
          </cell>
        </row>
        <row r="20">
          <cell r="A20">
            <v>4832</v>
          </cell>
          <cell r="B20" t="str">
            <v>TECH. Sup. O</v>
          </cell>
          <cell r="E20" t="str">
            <v>Cérémonie commémorative</v>
          </cell>
          <cell r="F20">
            <v>687</v>
          </cell>
        </row>
        <row r="21">
          <cell r="A21" t="str">
            <v>Y301</v>
          </cell>
          <cell r="B21" t="str">
            <v>AGT LOGIST GLE P.2ème</v>
          </cell>
          <cell r="E21" t="str">
            <v>CICA</v>
          </cell>
          <cell r="F21" t="str">
            <v>VG3</v>
          </cell>
        </row>
        <row r="22">
          <cell r="A22" t="str">
            <v>Y302</v>
          </cell>
          <cell r="B22" t="str">
            <v>AGT LOGIST GLE 1CL</v>
          </cell>
          <cell r="E22" t="str">
            <v>Conseil d'arrondissement</v>
          </cell>
        </row>
        <row r="23">
          <cell r="A23" t="str">
            <v>Z043</v>
          </cell>
          <cell r="B23" t="str">
            <v>ADJ ADMINISTR. P.1ère</v>
          </cell>
          <cell r="E23" t="str">
            <v>Conseil municipal des enfants</v>
          </cell>
        </row>
        <row r="24">
          <cell r="A24" t="str">
            <v>Z044</v>
          </cell>
          <cell r="B24" t="str">
            <v>ADJ ADMINISTR. P.2ème</v>
          </cell>
          <cell r="E24" t="str">
            <v>Déjeuner sur l'herbe</v>
          </cell>
        </row>
        <row r="25">
          <cell r="A25" t="str">
            <v>Z045</v>
          </cell>
          <cell r="B25" t="str">
            <v>ADJ ADMINISTR. 1CL</v>
          </cell>
          <cell r="E25" t="str">
            <v>Eéunion  </v>
          </cell>
        </row>
        <row r="26">
          <cell r="A26" t="str">
            <v>Z241</v>
          </cell>
          <cell r="B26" t="str">
            <v>SA CL.Sup</v>
          </cell>
          <cell r="E26" t="str">
            <v>Elections</v>
          </cell>
        </row>
        <row r="27">
          <cell r="A27" t="str">
            <v>Z242</v>
          </cell>
          <cell r="B27" t="str">
            <v>SA CL.Norm</v>
          </cell>
          <cell r="E27" t="str">
            <v>Forum association</v>
          </cell>
        </row>
        <row r="28">
          <cell r="E28" t="str">
            <v>Installation manifestation</v>
          </cell>
        </row>
        <row r="29">
          <cell r="E29" t="str">
            <v>Mariages</v>
          </cell>
        </row>
        <row r="30">
          <cell r="E30" t="str">
            <v>Réunion publique</v>
          </cell>
        </row>
        <row r="32">
          <cell r="A32" t="str">
            <v>JANVIER</v>
          </cell>
        </row>
        <row r="33">
          <cell r="A33" t="str">
            <v>FÉVRIER</v>
          </cell>
        </row>
        <row r="34">
          <cell r="A34" t="str">
            <v>MARS</v>
          </cell>
        </row>
        <row r="35">
          <cell r="A35" t="str">
            <v>AVRIL</v>
          </cell>
        </row>
        <row r="36">
          <cell r="A36" t="str">
            <v>MAI</v>
          </cell>
        </row>
        <row r="37">
          <cell r="A37" t="str">
            <v>JUIN</v>
          </cell>
        </row>
        <row r="38">
          <cell r="A38" t="str">
            <v>JUILLET</v>
          </cell>
        </row>
        <row r="39">
          <cell r="A39" t="str">
            <v>AOÛT</v>
          </cell>
        </row>
        <row r="40">
          <cell r="A40" t="str">
            <v>SEPTEMBRE</v>
          </cell>
        </row>
        <row r="41">
          <cell r="A41" t="str">
            <v>OCTOBRE</v>
          </cell>
        </row>
        <row r="42">
          <cell r="A42" t="str">
            <v>NOVEMBRE</v>
          </cell>
        </row>
        <row r="43">
          <cell r="A43" t="str">
            <v>DÉCEMBRE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INFO"/>
      <sheetName val="DEF INCOMPLET"/>
      <sheetName val="DEF TRI"/>
      <sheetName val="DEF NC"/>
      <sheetName val="DEF"/>
      <sheetName val="FAVO"/>
      <sheetName val="1er"/>
      <sheetName val="10ème"/>
      <sheetName val="11ème"/>
      <sheetName val="12ème"/>
      <sheetName val="13ème"/>
      <sheetName val="14ème"/>
      <sheetName val="15ème"/>
      <sheetName val="17ème"/>
      <sheetName val="19ème"/>
      <sheetName val="20ème"/>
      <sheetName val="PP"/>
      <sheetName val="PLANNING"/>
      <sheetName val="PLANNING 1 (3)"/>
      <sheetName val="PLANNING 1 (2)"/>
      <sheetName val="PLANNING 10 (3)"/>
      <sheetName val="PLANNING 10 (2)"/>
      <sheetName val="PLANNING 11 (3)"/>
      <sheetName val="PLANNING 11 (2)"/>
      <sheetName val="PLANNING 12 (3)"/>
      <sheetName val="PLANNING 12 (2)"/>
      <sheetName val="PLANNING 13 (3)"/>
      <sheetName val="PLANNING 13 (2)"/>
      <sheetName val="PLANNING 14 (3)"/>
      <sheetName val="PLANNING 14 (2)"/>
      <sheetName val="PLANNING 15 (3)"/>
      <sheetName val="PLANNING 15 (2)"/>
      <sheetName val="PLANNING 17 (3)"/>
      <sheetName val="PLANNING 17 (2)"/>
      <sheetName val="PLANNING 19 (3)"/>
      <sheetName val="PLANNING 19 (2)"/>
      <sheetName val="PLANNING 20 (3)"/>
      <sheetName val="PLANNING 20 (2)"/>
      <sheetName val="CONVENTIONS"/>
      <sheetName val="REDEVANCE"/>
      <sheetName val="Outils"/>
      <sheetName val="VAD 2017"/>
      <sheetName val="Tarifs"/>
      <sheetName val="SUIVI"/>
      <sheetName val="Alexandra"/>
      <sheetName val="Nombre de manif"/>
      <sheetName val="Transmission compta"/>
      <sheetName val="REFUS OP"/>
      <sheetName val="adresses"/>
      <sheetName val="Emplacement FT"/>
      <sheetName val="Légende"/>
      <sheetName val="MARCHE DE NOEL"/>
      <sheetName val="Feuil2"/>
      <sheetName val="Feuil3"/>
    </sheetNames>
    <sheetDataSet>
      <sheetData sheetId="1">
        <row r="3">
          <cell r="H3" t="str">
            <v>lundi</v>
          </cell>
        </row>
        <row r="4">
          <cell r="H4" t="str">
            <v>mardi</v>
          </cell>
        </row>
        <row r="5">
          <cell r="H5" t="str">
            <v>mercredi</v>
          </cell>
        </row>
        <row r="6">
          <cell r="H6" t="str">
            <v>jeudi</v>
          </cell>
        </row>
        <row r="7">
          <cell r="H7" t="str">
            <v>vendredi</v>
          </cell>
        </row>
        <row r="8">
          <cell r="H8" t="str">
            <v>samedi</v>
          </cell>
        </row>
        <row r="9">
          <cell r="H9" t="str">
            <v>dimanche</v>
          </cell>
        </row>
        <row r="10">
          <cell r="H10" t="str">
            <v>néant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D"/>
      <sheetName val="SYNTHESE"/>
      <sheetName val="DPE"/>
      <sheetName val="INFOS"/>
      <sheetName val="class.arrdt 2016"/>
      <sheetName val="Feuil1"/>
    </sheetNames>
    <sheetDataSet>
      <sheetData sheetId="3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  <row r="9">
          <cell r="E9" t="str">
            <v>HC</v>
          </cell>
        </row>
        <row r="10">
          <cell r="E10" t="str">
            <v>4M</v>
          </cell>
        </row>
        <row r="11">
          <cell r="E11" t="str">
            <v>3M</v>
          </cell>
        </row>
        <row r="12">
          <cell r="E12" t="str">
            <v>2M</v>
          </cell>
        </row>
        <row r="13">
          <cell r="E13" t="str">
            <v>1M</v>
          </cell>
        </row>
        <row r="14">
          <cell r="E14" t="str">
            <v>HCM</v>
          </cell>
        </row>
        <row r="15">
          <cell r="E15" t="str">
            <v>Esp. verts</v>
          </cell>
        </row>
        <row r="16">
          <cell r="E16" t="str">
            <v>Prestige 1</v>
          </cell>
        </row>
        <row r="17">
          <cell r="E17">
            <v>0</v>
          </cell>
        </row>
        <row r="18">
          <cell r="E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3"/>
  <sheetViews>
    <sheetView showZeros="0" tabSelected="1" zoomScale="90" zoomScaleNormal="90" workbookViewId="0" topLeftCell="C1">
      <pane ySplit="2" topLeftCell="A3" activePane="bottomLeft" state="frozen"/>
      <selection pane="topLeft" activeCell="A1" sqref="A1"/>
      <selection pane="bottomLeft" activeCell="D1" sqref="D1"/>
    </sheetView>
  </sheetViews>
  <sheetFormatPr defaultColWidth="11.421875" defaultRowHeight="15"/>
  <cols>
    <col min="1" max="1" width="13.28125" style="8" customWidth="1"/>
    <col min="2" max="2" width="19.8515625" style="0" customWidth="1"/>
    <col min="3" max="3" width="7.28125" style="0" customWidth="1"/>
    <col min="4" max="4" width="30.8515625" style="28" customWidth="1"/>
    <col min="5" max="5" width="11.7109375" style="225" bestFit="1" customWidth="1"/>
    <col min="6" max="6" width="9.28125" style="236" bestFit="1" customWidth="1"/>
    <col min="7" max="7" width="9.00390625" style="236" bestFit="1" customWidth="1"/>
    <col min="8" max="9" width="9.7109375" style="33" customWidth="1"/>
    <col min="10" max="10" width="9.7109375" style="225" customWidth="1"/>
    <col min="11" max="11" width="9.7109375" style="27" customWidth="1"/>
    <col min="12" max="12" width="11.8515625" style="225" customWidth="1"/>
    <col min="13" max="13" width="10.140625" style="27" bestFit="1" customWidth="1"/>
    <col min="14" max="14" width="6.57421875" style="128" customWidth="1"/>
    <col min="15" max="15" width="8.8515625" style="128" customWidth="1"/>
    <col min="16" max="16" width="10.00390625" style="34" customWidth="1"/>
    <col min="17" max="17" width="6.00390625" style="30" bestFit="1" customWidth="1"/>
    <col min="18" max="18" width="8.8515625" style="30" customWidth="1"/>
    <col min="19" max="19" width="8.8515625" style="0" customWidth="1"/>
    <col min="20" max="20" width="2.28125" style="31" bestFit="1" customWidth="1"/>
    <col min="21" max="21" width="2.00390625" style="31" bestFit="1" customWidth="1"/>
    <col min="22" max="22" width="7.7109375" style="0" bestFit="1" customWidth="1"/>
    <col min="23" max="23" width="10.140625" style="34" bestFit="1" customWidth="1"/>
    <col min="24" max="24" width="7.7109375" style="0" bestFit="1" customWidth="1"/>
    <col min="25" max="25" width="10.00390625" style="0" bestFit="1" customWidth="1"/>
    <col min="26" max="26" width="7.7109375" style="0" bestFit="1" customWidth="1"/>
    <col min="27" max="27" width="11.421875" style="0" bestFit="1" customWidth="1"/>
    <col min="28" max="28" width="7.7109375" style="0" bestFit="1" customWidth="1"/>
    <col min="29" max="29" width="10.00390625" style="0" bestFit="1" customWidth="1"/>
    <col min="30" max="30" width="30.00390625" style="0" customWidth="1"/>
    <col min="31" max="31" width="9.57421875" style="0" bestFit="1" customWidth="1"/>
    <col min="32" max="32" width="7.7109375" style="0" bestFit="1" customWidth="1"/>
    <col min="33" max="33" width="4.7109375" style="0" bestFit="1" customWidth="1"/>
    <col min="34" max="34" width="5.00390625" style="0" bestFit="1" customWidth="1"/>
    <col min="35" max="35" width="8.421875" style="0" bestFit="1" customWidth="1"/>
    <col min="36" max="37" width="9.00390625" style="33" bestFit="1" customWidth="1"/>
    <col min="38" max="38" width="14.140625" style="33" bestFit="1" customWidth="1"/>
    <col min="39" max="39" width="7.57421875" style="34" bestFit="1" customWidth="1"/>
    <col min="40" max="40" width="6.8515625" style="34" bestFit="1" customWidth="1"/>
    <col min="41" max="41" width="11.57421875" style="24" customWidth="1"/>
  </cols>
  <sheetData>
    <row r="1" spans="1:42" ht="43.5" customHeight="1" thickBot="1">
      <c r="A1" s="368" t="s">
        <v>0</v>
      </c>
      <c r="B1" s="1" t="s">
        <v>140</v>
      </c>
      <c r="C1" s="1"/>
      <c r="D1" s="2" t="s">
        <v>1</v>
      </c>
      <c r="E1" s="388"/>
      <c r="F1" s="389"/>
      <c r="G1" s="390"/>
      <c r="H1" s="391"/>
      <c r="I1" s="391"/>
      <c r="J1" s="390"/>
      <c r="K1" s="392"/>
      <c r="L1" s="390"/>
      <c r="M1" s="3"/>
      <c r="N1" s="393" t="s">
        <v>2</v>
      </c>
      <c r="O1" s="393"/>
      <c r="P1" s="393"/>
      <c r="Q1" s="394" t="s">
        <v>3</v>
      </c>
      <c r="R1" s="394"/>
      <c r="S1" s="395"/>
      <c r="T1" s="4"/>
      <c r="U1" s="4"/>
      <c r="V1" s="362" t="s">
        <v>157</v>
      </c>
      <c r="W1" s="363"/>
      <c r="X1" s="364" t="s">
        <v>158</v>
      </c>
      <c r="Y1" s="365"/>
      <c r="Z1" s="366" t="s">
        <v>159</v>
      </c>
      <c r="AA1" s="367"/>
      <c r="AB1" s="357" t="s">
        <v>136</v>
      </c>
      <c r="AC1" s="358"/>
      <c r="AD1" s="5"/>
      <c r="AE1" s="6"/>
      <c r="AF1" s="7"/>
      <c r="AG1" s="7"/>
      <c r="AH1" s="7"/>
      <c r="AI1" s="7"/>
      <c r="AJ1" s="121"/>
      <c r="AK1" s="122"/>
      <c r="AL1" s="123"/>
      <c r="AM1" s="99"/>
      <c r="AN1" s="99"/>
      <c r="AO1" s="9"/>
      <c r="AP1" s="10"/>
    </row>
    <row r="2" spans="1:42" ht="36.75" thickBot="1">
      <c r="A2" s="369"/>
      <c r="B2" s="11">
        <f>VLOOKUP(B1,INFOS!A:AU,2,FALSE)</f>
        <v>1010101</v>
      </c>
      <c r="C2" s="11" t="s">
        <v>4</v>
      </c>
      <c r="D2" s="12" t="s">
        <v>5</v>
      </c>
      <c r="E2" s="226" t="s">
        <v>6</v>
      </c>
      <c r="F2" s="226" t="s">
        <v>7</v>
      </c>
      <c r="G2" s="227" t="s">
        <v>8</v>
      </c>
      <c r="H2" s="157" t="s">
        <v>9</v>
      </c>
      <c r="I2" s="157" t="s">
        <v>10</v>
      </c>
      <c r="J2" s="222" t="s">
        <v>11</v>
      </c>
      <c r="K2" s="158" t="s">
        <v>12</v>
      </c>
      <c r="L2" s="237" t="s">
        <v>13</v>
      </c>
      <c r="M2" s="130" t="s">
        <v>12</v>
      </c>
      <c r="N2" s="385" t="s">
        <v>14</v>
      </c>
      <c r="O2" s="385" t="s">
        <v>168</v>
      </c>
      <c r="P2" s="386" t="s">
        <v>169</v>
      </c>
      <c r="Q2" s="387" t="s">
        <v>15</v>
      </c>
      <c r="R2" s="387" t="s">
        <v>168</v>
      </c>
      <c r="S2" s="396" t="s">
        <v>169</v>
      </c>
      <c r="T2" s="4"/>
      <c r="U2" s="4"/>
      <c r="V2" s="13" t="s">
        <v>16</v>
      </c>
      <c r="W2" s="119" t="s">
        <v>17</v>
      </c>
      <c r="X2" s="14" t="s">
        <v>16</v>
      </c>
      <c r="Y2" s="15" t="s">
        <v>17</v>
      </c>
      <c r="Z2" s="16" t="s">
        <v>16</v>
      </c>
      <c r="AA2" s="17" t="s">
        <v>17</v>
      </c>
      <c r="AB2" s="18" t="s">
        <v>16</v>
      </c>
      <c r="AC2" s="19" t="s">
        <v>17</v>
      </c>
      <c r="AD2" s="118" t="s">
        <v>18</v>
      </c>
      <c r="AE2" s="20" t="s">
        <v>19</v>
      </c>
      <c r="AF2" s="1" t="s">
        <v>17</v>
      </c>
      <c r="AG2" s="1" t="s">
        <v>20</v>
      </c>
      <c r="AH2" s="1" t="s">
        <v>139</v>
      </c>
      <c r="AI2" s="1" t="s">
        <v>21</v>
      </c>
      <c r="AJ2" s="359" t="s">
        <v>22</v>
      </c>
      <c r="AK2" s="360"/>
      <c r="AL2" s="124" t="s">
        <v>23</v>
      </c>
      <c r="AM2" s="120" t="s">
        <v>24</v>
      </c>
      <c r="AN2" s="120" t="s">
        <v>25</v>
      </c>
      <c r="AO2" s="113"/>
      <c r="AP2" s="21"/>
    </row>
    <row r="3" spans="1:42" s="24" customFormat="1" ht="15">
      <c r="A3" s="371" t="s">
        <v>156</v>
      </c>
      <c r="B3" s="322">
        <f>VLOOKUP($B$1,INFOS!A:AU,39,FALSE)</f>
        <v>457</v>
      </c>
      <c r="C3" s="361" t="s">
        <v>27</v>
      </c>
      <c r="D3" s="313">
        <v>43040</v>
      </c>
      <c r="E3" s="258">
        <v>0.25</v>
      </c>
      <c r="F3" s="258">
        <v>0.4583333333333333</v>
      </c>
      <c r="G3" s="258">
        <f aca="true" t="shared" si="0" ref="G3:G16">IF(AND(E3="",F3=""),"",MOD(F3-E3,1))</f>
        <v>0.20833333333333331</v>
      </c>
      <c r="H3" s="205">
        <f aca="true" t="shared" si="1" ref="H3:H17">IF(E3="","",IF($E3&lt;$AJ$3,$AJ$3-$E3,""))</f>
        <v>0.041666666666666685</v>
      </c>
      <c r="I3" s="205">
        <f aca="true" t="shared" si="2" ref="I3:I17">IF(F3="","",IF($F3&gt;$AK$3,$F3-$AK$3,""))</f>
      </c>
      <c r="J3" s="205">
        <f>IF(AND(H3="",I3=""),"",SUM(H3,I3))</f>
        <v>0.041666666666666685</v>
      </c>
      <c r="K3" s="143">
        <f>IF(J3="","",J3*24)</f>
        <v>1.0000000000000004</v>
      </c>
      <c r="L3" s="205">
        <f>IF(AND(E3="",F3=""),"",IF(J3&lt;&gt;"",G3-J3,G3))</f>
        <v>0.16666666666666663</v>
      </c>
      <c r="M3" s="143">
        <f aca="true" t="shared" si="3" ref="M3:M16">IF(L3="","",L3*24)</f>
        <v>3.999999999999999</v>
      </c>
      <c r="N3" s="270" t="str">
        <f>IF(AND(K3="",M3=""),"",IF(SUM($M$3:M3,$K$3:K3)&lt;=25,"O","N"))</f>
        <v>O</v>
      </c>
      <c r="O3" s="132">
        <f>IF($K3="","",K3)</f>
        <v>1.0000000000000004</v>
      </c>
      <c r="P3" s="126">
        <f>IF($M3="","",M3)</f>
        <v>3.999999999999999</v>
      </c>
      <c r="Q3" s="127">
        <f aca="true" t="shared" si="4" ref="Q3:Q16">IF(AND(N3="O",SUM(O3,P3)=SUM(K3,M3)),"",IF(AND(N3="O",SUM(O3,P3)&lt;SUM(K3,M3)),"O",IF(N3="N","O","")))</f>
      </c>
      <c r="R3" s="127"/>
      <c r="S3" s="150">
        <f>IF(Q3="","",IF(AND(N3="O",Q3="O"),SUM(K3,M3,-P3),IF(N3="N",SUM(K3,M3),"")))</f>
      </c>
      <c r="T3" s="23">
        <f>IF(N3="O",MAX(T$2:T2)+1,"")</f>
        <v>1</v>
      </c>
      <c r="U3" s="23">
        <f>IF(Q3="O",MAX(U$2:U2)+1,"")</f>
      </c>
      <c r="V3" s="244">
        <f>IF(W3&lt;&gt;"",VLOOKUP($B$3,'Grille IND'!$A$5:$F$653,3,FALSE),"")</f>
      </c>
      <c r="W3" s="114">
        <f aca="true" t="shared" si="5" ref="W3:W17">IF(T3="","",IF(OR(AO3="D",AO3="F"),"",IF(OR(AND(N3="O",Q3="",P3&lt;=14),AND(N3="O",Q3="O",P3&lt;=14)),P3,14)))</f>
      </c>
      <c r="X3" s="245">
        <f>IF(Y3&lt;&gt;"",VLOOKUP($B$3,'Grille IND'!$A$5:$F$653,4,FALSE),"")</f>
      </c>
      <c r="Y3" s="115">
        <f aca="true" t="shared" si="6" ref="Y3:Y17">IF(T3="","",IF(OR(AO3="D",AO3="F"),"",IF(OR(AND(N3="O",Q3="",P3&gt;14),AND(N3="O",Q3="O",P3&gt;14)),P3-14,"")))</f>
      </c>
      <c r="Z3" s="246">
        <f>IF(AA3&lt;&gt;"",VLOOKUP($B$3,'Grille IND'!$A$5:$F$653,5,FALSE),"")</f>
        <v>26.52</v>
      </c>
      <c r="AA3" s="116">
        <f aca="true" t="shared" si="7" ref="AA3:AA17">IF(T3="","",IF(OR(AND(OR(AO3="D",AO3="F"),N3="O",Q3=""),AND(OR(AO3="D",AO3="F"),N3="O",Q3="O")),P3,""))</f>
        <v>3.999999999999999</v>
      </c>
      <c r="AB3" s="247">
        <f>IF(AC3&lt;&gt;"",VLOOKUP($B$3,'Grille IND'!$A$5:$F$653,6,FALSE),"")</f>
        <v>31.82</v>
      </c>
      <c r="AC3" s="117">
        <f aca="true" t="shared" si="8" ref="AC3:AC17">IF(T3="","",IF(O3="","",O3))</f>
        <v>1.0000000000000004</v>
      </c>
      <c r="AD3" s="24" t="s">
        <v>28</v>
      </c>
      <c r="AE3" s="25"/>
      <c r="AG3" s="25"/>
      <c r="AH3" s="25"/>
      <c r="AI3" s="25"/>
      <c r="AJ3" s="26">
        <v>0.2916666666666667</v>
      </c>
      <c r="AK3" s="26">
        <v>0.9166666666666666</v>
      </c>
      <c r="AL3" s="26">
        <v>1.0416666666666667</v>
      </c>
      <c r="AM3" s="27">
        <v>14</v>
      </c>
      <c r="AN3" s="27">
        <v>15</v>
      </c>
      <c r="AO3" s="105" t="str">
        <f aca="true" t="shared" si="9" ref="AO3:AO66">IF(D3&lt;&gt;"",IF(AND(ISERROR(VLOOKUP(D3,Fériés,1,0)),WEEKDAY(D3,2)&lt;=6),"",IF(WEEKDAY(D3,2)&gt;6,"D",IF(VLOOKUP(D3,Fériés,1,0),"F",""))),"")</f>
        <v>F</v>
      </c>
      <c r="AP3" s="104"/>
    </row>
    <row r="4" spans="1:42" ht="15">
      <c r="A4" s="372"/>
      <c r="B4" s="319">
        <f>VLOOKUP($B$1,INFOS!A:AU,40,FALSE)</f>
        <v>1</v>
      </c>
      <c r="C4" s="361"/>
      <c r="D4" s="133">
        <v>43043</v>
      </c>
      <c r="E4" s="259">
        <v>0.2916666666666667</v>
      </c>
      <c r="F4" s="259">
        <v>0.9479166666666666</v>
      </c>
      <c r="G4" s="259">
        <f t="shared" si="0"/>
        <v>0.65625</v>
      </c>
      <c r="H4" s="206">
        <f t="shared" si="1"/>
      </c>
      <c r="I4" s="206">
        <f t="shared" si="2"/>
        <v>0.03125</v>
      </c>
      <c r="J4" s="206">
        <f aca="true" t="shared" si="10" ref="J4:J16">IF(AND(H4="",I4=""),"",SUM(H4,I4))</f>
        <v>0.03125</v>
      </c>
      <c r="K4" s="126">
        <f aca="true" t="shared" si="11" ref="K4:K16">IF(J4="","",J4*24)</f>
        <v>0.75</v>
      </c>
      <c r="L4" s="206">
        <f>IF(AND(E4="",F4=""),"",IF(J4&lt;&gt;"",G4-J4,G4))</f>
        <v>0.625</v>
      </c>
      <c r="M4" s="126">
        <f t="shared" si="3"/>
        <v>15</v>
      </c>
      <c r="N4" s="270" t="str">
        <f>IF(AND(K4="",M4=""),"",IF(OR(SUM(K$3:K4,M$3:M4)&lt;=25,AND(SUM(K$3:K3,M$3:M3)&lt;=25,SUM(K$3:K3,M$3:M3,M4,K4)&gt;25)),"O","N"))</f>
        <v>O</v>
      </c>
      <c r="O4" s="132">
        <f>IF(OR(N4="N",N4=""),"",IF(K4="","",IF((25-SUM($O$3:O3,$P$3:P3))&gt;K4,K4,25-SUM($O$3:O3,$P$3:P3))))</f>
        <v>0.75</v>
      </c>
      <c r="P4" s="126">
        <f>IF(OR(N4="N",N4=""),"",IF(M4="","",IF((25-SUM($O$3:O4,$P$3:P3))&gt;M4,M4,25-SUM($O$3:O4,$P$3:P3))))</f>
        <v>15</v>
      </c>
      <c r="Q4" s="127">
        <f t="shared" si="4"/>
      </c>
      <c r="R4" s="127">
        <f>IF(Q4="","",IF(AND(N4="O",Q4="O"),IF(K4="","",K4-O4),IF(N4="N",IF(K4="","",K4),"")))</f>
      </c>
      <c r="S4" s="150">
        <f>IF(Q4="","",IF(AND(N4="O",Q4="O"),IF(M4="","",M4-P4),IF(N4="N",IF(M4="","",M4),"")))</f>
      </c>
      <c r="T4" s="23">
        <f>IF(N4="O",MAX(T$2:T3)+1,"")</f>
        <v>2</v>
      </c>
      <c r="U4" s="23">
        <f>IF(Q4="O",MAX(U$2:U3)+1,"")</f>
      </c>
      <c r="V4" s="244">
        <f>IF(W4&lt;&gt;"",VLOOKUP($B$3,'Grille IND'!$A$5:$F$653,3,FALSE),"")</f>
        <v>15.91</v>
      </c>
      <c r="W4" s="114">
        <f t="shared" si="5"/>
        <v>14</v>
      </c>
      <c r="X4" s="245">
        <f>IF(Y4&lt;&gt;"",VLOOKUP($B$3,'Grille IND'!$A$5:$F$653,4,FALSE),"")</f>
        <v>16.17</v>
      </c>
      <c r="Y4" s="115">
        <f t="shared" si="6"/>
        <v>1</v>
      </c>
      <c r="Z4" s="246">
        <f>IF(AA4&lt;&gt;"",VLOOKUP($B$3,'Grille IND'!$A$5:$F$653,5,FALSE),"")</f>
      </c>
      <c r="AA4" s="116">
        <f t="shared" si="7"/>
      </c>
      <c r="AB4" s="247">
        <f>IF(AC4&lt;&gt;"",VLOOKUP($B$3,'Grille IND'!$A$5:$F$653,6,FALSE),"")</f>
        <v>31.82</v>
      </c>
      <c r="AC4" s="117">
        <f t="shared" si="8"/>
        <v>0.75</v>
      </c>
      <c r="AO4" s="105">
        <f t="shared" si="9"/>
      </c>
      <c r="AP4" s="24"/>
    </row>
    <row r="5" spans="1:42" ht="15">
      <c r="A5" s="372"/>
      <c r="B5" s="370" t="str">
        <f>VLOOKUP($B$1,INFOS!A:AU,9,FALSE)</f>
        <v>Direction Générale des Services</v>
      </c>
      <c r="C5" s="361"/>
      <c r="D5" s="314">
        <v>43044</v>
      </c>
      <c r="E5" s="259">
        <v>0.5833333333333334</v>
      </c>
      <c r="F5" s="259">
        <v>0.625</v>
      </c>
      <c r="G5" s="259">
        <f t="shared" si="0"/>
        <v>0.04166666666666663</v>
      </c>
      <c r="H5" s="206">
        <f t="shared" si="1"/>
      </c>
      <c r="I5" s="206">
        <f t="shared" si="2"/>
      </c>
      <c r="J5" s="206">
        <f t="shared" si="10"/>
      </c>
      <c r="K5" s="126">
        <f t="shared" si="11"/>
      </c>
      <c r="L5" s="206">
        <f aca="true" t="shared" si="12" ref="L5:L16">IF(AND(E5="",F5=""),"",IF(J5&lt;&gt;"",G5-J5,G5))</f>
        <v>0.04166666666666663</v>
      </c>
      <c r="M5" s="126">
        <f>IF(L5="","",L5*24)</f>
        <v>0.9999999999999991</v>
      </c>
      <c r="N5" s="270" t="str">
        <f>IF(AND(K5="",M5=""),"",IF(OR(SUM(K$3:K5,M$3:M5)&lt;=25,AND(SUM(K$3:K4,M$3:M4)&lt;=25,SUM(K$3:K4,M$3:M4,M5,K5)&gt;25)),"O","N"))</f>
        <v>O</v>
      </c>
      <c r="O5" s="132">
        <f>IF(OR(N5="N",N5=""),"",IF(K5="","",IF((25-SUM($O$3:O4,$P$3:P4))&gt;K5,K5,25-SUM($O$3:O4,$P$3:P4))))</f>
      </c>
      <c r="P5" s="126">
        <f>IF(OR(N5="N",N5=""),"",IF(M5="","",IF((25-SUM($O$3:O5,$P$3:P4))&gt;M5,M5,25-SUM($O$3:O5,$P$3:P4))))</f>
        <v>0.9999999999999991</v>
      </c>
      <c r="Q5" s="127">
        <f t="shared" si="4"/>
      </c>
      <c r="R5" s="127">
        <f>IF(Q5="","",IF(AND(N5="O",Q5="O"),IF(K5="","",K5-O5),IF(N5="N",IF(K5="","",K5),"")))</f>
      </c>
      <c r="S5" s="150">
        <f>IF(Q5="","",IF(AND(N5="O",Q5="O"),IF(M5="","",M5-P5),IF(N5="N",IF(M5="","",M5),"")))</f>
      </c>
      <c r="T5" s="23">
        <f>IF(N5="O",MAX(T$2:T4)+1,"")</f>
        <v>3</v>
      </c>
      <c r="U5" s="23">
        <f>IF(Q5="O",MAX(U$2:U4)+1,"")</f>
      </c>
      <c r="V5" s="244">
        <f>IF(W5&lt;&gt;"",VLOOKUP($B$3,'Grille IND'!$A$5:$F$653,3,FALSE),"")</f>
      </c>
      <c r="W5" s="114">
        <f t="shared" si="5"/>
      </c>
      <c r="X5" s="245">
        <f>IF(Y5&lt;&gt;"",VLOOKUP($B$3,'Grille IND'!$A$5:$F$653,4,FALSE),"")</f>
      </c>
      <c r="Y5" s="115">
        <f t="shared" si="6"/>
      </c>
      <c r="Z5" s="246">
        <f>IF(AA5&lt;&gt;"",VLOOKUP($B$3,'Grille IND'!$A$5:$F$653,5,FALSE),"")</f>
        <v>26.52</v>
      </c>
      <c r="AA5" s="116">
        <f t="shared" si="7"/>
        <v>0.9999999999999991</v>
      </c>
      <c r="AB5" s="247">
        <f>IF(AC5&lt;&gt;"",VLOOKUP($B$3,'Grille IND'!$A$5:$F$653,6,FALSE),"")</f>
      </c>
      <c r="AC5" s="117">
        <f t="shared" si="8"/>
      </c>
      <c r="AO5" s="105" t="str">
        <f t="shared" si="9"/>
        <v>D</v>
      </c>
      <c r="AP5" s="24"/>
    </row>
    <row r="6" spans="1:42" ht="15">
      <c r="A6" s="372"/>
      <c r="B6" s="370"/>
      <c r="C6" s="361"/>
      <c r="D6" s="314">
        <v>43050</v>
      </c>
      <c r="E6" s="259">
        <v>0.375</v>
      </c>
      <c r="F6" s="259">
        <v>0.4583333333333333</v>
      </c>
      <c r="G6" s="259">
        <f t="shared" si="0"/>
        <v>0.08333333333333331</v>
      </c>
      <c r="H6" s="206">
        <f t="shared" si="1"/>
      </c>
      <c r="I6" s="206">
        <f t="shared" si="2"/>
      </c>
      <c r="J6" s="206">
        <f t="shared" si="10"/>
      </c>
      <c r="K6" s="126">
        <f t="shared" si="11"/>
      </c>
      <c r="L6" s="206">
        <f t="shared" si="12"/>
        <v>0.08333333333333331</v>
      </c>
      <c r="M6" s="126">
        <f t="shared" si="3"/>
        <v>1.9999999999999996</v>
      </c>
      <c r="N6" s="270" t="str">
        <f>IF(AND(K6="",M6=""),"",IF(OR(SUM(K$3:K6,M$3:M6)&lt;=25,AND(SUM(K$3:K5,M$3:M5)&lt;=25,SUM(K$3:K5,M$3:M5,M6,K6)&gt;25)),"O","N"))</f>
        <v>O</v>
      </c>
      <c r="O6" s="132">
        <f>IF(OR(N6="N",N6=""),"",IF(K6="","",IF((25-SUM($O$3:O5,$P$3:P5))&gt;K6,K6,25-SUM($O$3:O5,$P$3:P5))))</f>
      </c>
      <c r="P6" s="126">
        <f>IF(OR(N6="N",N6=""),"",IF(M6="","",IF((25-SUM($O$3:O6,$P$3:P5))&gt;M6,M6,25-SUM($O$3:O6,$P$3:P5))))</f>
        <v>1.9999999999999996</v>
      </c>
      <c r="Q6" s="127">
        <f t="shared" si="4"/>
      </c>
      <c r="R6" s="127">
        <f>IF(Q6="","",IF(AND(N6="O",Q6="O"),IF(K6="","",K6-O6),IF(N6="N",IF(K6="","",K6),"")))</f>
      </c>
      <c r="S6" s="150">
        <f>IF(Q6="","",IF(AND(N6="O",Q6="O"),IF(M6="","",M6-P6),IF(N6="N",IF(M6="","",M6),"")))</f>
      </c>
      <c r="T6" s="23">
        <f>IF(N6="O",MAX(T$2:T5)+1,"")</f>
        <v>4</v>
      </c>
      <c r="U6" s="23">
        <f>IF(Q6="O",MAX(U$2:U5)+1,"")</f>
      </c>
      <c r="V6" s="244">
        <f>IF(W6&lt;&gt;"",VLOOKUP($B$3,'Grille IND'!$A$5:$F$653,3,FALSE),"")</f>
      </c>
      <c r="W6" s="114">
        <f t="shared" si="5"/>
      </c>
      <c r="X6" s="245">
        <f>IF(Y6&lt;&gt;"",VLOOKUP($B$3,'Grille IND'!$A$5:$F$653,4,FALSE),"")</f>
      </c>
      <c r="Y6" s="115">
        <f t="shared" si="6"/>
      </c>
      <c r="Z6" s="246">
        <f>IF(AA6&lt;&gt;"",VLOOKUP($B$3,'Grille IND'!$A$5:$F$653,5,FALSE),"")</f>
        <v>26.52</v>
      </c>
      <c r="AA6" s="116">
        <f t="shared" si="7"/>
        <v>1.9999999999999996</v>
      </c>
      <c r="AB6" s="247">
        <f>IF(AC6&lt;&gt;"",VLOOKUP($B$3,'Grille IND'!$A$5:$F$653,6,FALSE),"")</f>
      </c>
      <c r="AC6" s="117">
        <f t="shared" si="8"/>
      </c>
      <c r="AO6" s="105" t="str">
        <f t="shared" si="9"/>
        <v>F</v>
      </c>
      <c r="AP6" s="24"/>
    </row>
    <row r="7" spans="1:42" ht="15">
      <c r="A7" s="372"/>
      <c r="B7" s="370"/>
      <c r="C7" s="361"/>
      <c r="D7" s="314">
        <v>43057</v>
      </c>
      <c r="E7" s="259">
        <v>0.7083333333333334</v>
      </c>
      <c r="F7" s="259">
        <v>0.9166666666666666</v>
      </c>
      <c r="G7" s="259">
        <f t="shared" si="0"/>
        <v>0.20833333333333326</v>
      </c>
      <c r="H7" s="206">
        <f t="shared" si="1"/>
      </c>
      <c r="I7" s="206">
        <f t="shared" si="2"/>
      </c>
      <c r="J7" s="206">
        <f t="shared" si="10"/>
      </c>
      <c r="K7" s="126">
        <f t="shared" si="11"/>
      </c>
      <c r="L7" s="206">
        <f t="shared" si="12"/>
        <v>0.20833333333333326</v>
      </c>
      <c r="M7" s="126">
        <f t="shared" si="3"/>
        <v>4.999999999999998</v>
      </c>
      <c r="N7" s="270" t="str">
        <f>IF(AND(K7="",M7=""),"",IF(OR(SUM(K$3:K7,M$3:M7)&lt;=25,AND(SUM(K$3:K6,M$3:M6)&lt;=25,SUM(K$3:K6,M$3:M6,M7,K7)&gt;25)),"O","N"))</f>
        <v>O</v>
      </c>
      <c r="O7" s="132">
        <f>IF(OR(N7="N",N7=""),"",IF(K7="","",IF((25-SUM($O$3:O6,$P$3:P6))&gt;K7,K7,25-SUM($O$3:O6,$P$3:P6))))</f>
      </c>
      <c r="P7" s="126">
        <f>IF(OR(N7="N",N7=""),"",IF(M7="","",IF((25-SUM($O$3:O7,$P$3:P6))&gt;M7,M7,25-SUM($O$3:O7,$P$3:P6))))</f>
        <v>1.25</v>
      </c>
      <c r="Q7" s="127" t="str">
        <f t="shared" si="4"/>
        <v>O</v>
      </c>
      <c r="R7" s="127">
        <f>IF(Q7="","",IF(AND(N7="O",Q7="O"),IF(K7="","",K7-O7),IF(N7="N",IF(K7="","",K7),"")))</f>
      </c>
      <c r="S7" s="150">
        <f>IF(Q7="","",IF(AND(N7="O",Q7="O"),IF(M7="","",M7-P7),IF(N7="N",IF(M7="","",M7),"")))</f>
        <v>3.7499999999999982</v>
      </c>
      <c r="T7" s="23">
        <f>IF(N7="O",MAX(T$2:T6)+1,"")</f>
        <v>5</v>
      </c>
      <c r="U7" s="23">
        <f>IF(Q7="O",MAX(U$2:U6)+1,"")</f>
        <v>1</v>
      </c>
      <c r="V7" s="244">
        <f>IF(W7&lt;&gt;"",VLOOKUP($B$3,'Grille IND'!$A$5:$F$653,3,FALSE),"")</f>
        <v>15.91</v>
      </c>
      <c r="W7" s="114">
        <f t="shared" si="5"/>
        <v>1.25</v>
      </c>
      <c r="X7" s="245">
        <f>IF(Y7&lt;&gt;"",VLOOKUP($B$3,'Grille IND'!$A$5:$F$653,4,FALSE),"")</f>
      </c>
      <c r="Y7" s="115">
        <f t="shared" si="6"/>
      </c>
      <c r="Z7" s="246">
        <f>IF(AA7&lt;&gt;"",VLOOKUP($B$3,'Grille IND'!$A$5:$F$653,5,FALSE),"")</f>
      </c>
      <c r="AA7" s="116">
        <f t="shared" si="7"/>
      </c>
      <c r="AB7" s="247">
        <f>IF(AC7&lt;&gt;"",VLOOKUP($B$3,'Grille IND'!$A$5:$F$653,6,FALSE),"")</f>
      </c>
      <c r="AC7" s="117">
        <f t="shared" si="8"/>
      </c>
      <c r="AO7" s="105">
        <f t="shared" si="9"/>
      </c>
      <c r="AP7" s="24"/>
    </row>
    <row r="8" spans="1:42" ht="15">
      <c r="A8" s="372"/>
      <c r="B8" s="196"/>
      <c r="C8" s="361"/>
      <c r="D8" s="314">
        <v>43058</v>
      </c>
      <c r="E8" s="259">
        <v>0.8333333333333334</v>
      </c>
      <c r="F8" s="259">
        <v>0.9479166666666666</v>
      </c>
      <c r="G8" s="259">
        <f t="shared" si="0"/>
        <v>0.11458333333333326</v>
      </c>
      <c r="H8" s="206">
        <f t="shared" si="1"/>
      </c>
      <c r="I8" s="206">
        <f t="shared" si="2"/>
        <v>0.03125</v>
      </c>
      <c r="J8" s="206">
        <f t="shared" si="10"/>
        <v>0.03125</v>
      </c>
      <c r="K8" s="126">
        <f t="shared" si="11"/>
        <v>0.75</v>
      </c>
      <c r="L8" s="206">
        <f t="shared" si="12"/>
        <v>0.08333333333333326</v>
      </c>
      <c r="M8" s="126">
        <f t="shared" si="3"/>
        <v>1.9999999999999982</v>
      </c>
      <c r="N8" s="270" t="str">
        <f>IF(AND(K8="",M8=""),"",IF(OR(SUM(K$3:K8,M$3:M8)&lt;=25,AND(SUM(K$3:K7,M$3:M7)&lt;=25,SUM(K$3:K7,M$3:M7,M8,K8)&gt;25)),"O","N"))</f>
        <v>N</v>
      </c>
      <c r="O8" s="132">
        <f>IF(OR(N8="N",N8=""),"",IF(K8="","",IF((25-SUM($O$3:O7,$P$3:P7))&gt;K8,K8,25-SUM($O$3:O7,$P$3:P7))))</f>
      </c>
      <c r="P8" s="126">
        <f>IF(OR(N8="N",N8=""),"",IF(M8="","",IF((25-SUM($O$3:O8,$P$3:P7))&gt;M8,M8,25-SUM($O$3:O8,$P$3:P7))))</f>
      </c>
      <c r="Q8" s="127" t="str">
        <f t="shared" si="4"/>
        <v>O</v>
      </c>
      <c r="R8" s="127">
        <f aca="true" t="shared" si="13" ref="R8:R16">IF(Q8="","",IF(AND(N8="O",Q8="O"),IF(K8="","",K8-O8),IF(N8="N",IF(K8="","",K8),"")))</f>
        <v>0.75</v>
      </c>
      <c r="S8" s="150">
        <f aca="true" t="shared" si="14" ref="S8:S16">IF(Q8="","",IF(AND(N8="O",Q8="O"),IF(M8="","",M8-P8),IF(N8="N",IF(M8="","",M8),"")))</f>
        <v>1.9999999999999982</v>
      </c>
      <c r="T8" s="23">
        <f>IF(N8="O",MAX(T$2:T7)+1,"")</f>
      </c>
      <c r="U8" s="23">
        <f>IF(Q8="O",MAX(U$2:U7)+1,"")</f>
        <v>2</v>
      </c>
      <c r="V8" s="244">
        <f>IF(W8&lt;&gt;"",VLOOKUP($B$3,'Grille IND'!$A$5:$F$653,3,FALSE),"")</f>
      </c>
      <c r="W8" s="114">
        <f t="shared" si="5"/>
      </c>
      <c r="X8" s="245">
        <f>IF(Y8&lt;&gt;"",VLOOKUP($B$3,'Grille IND'!$A$5:$F$653,4,FALSE),"")</f>
      </c>
      <c r="Y8" s="115">
        <f t="shared" si="6"/>
      </c>
      <c r="Z8" s="246">
        <f>IF(AA8&lt;&gt;"",VLOOKUP($B$3,'Grille IND'!$A$5:$F$653,5,FALSE),"")</f>
      </c>
      <c r="AA8" s="116">
        <f t="shared" si="7"/>
      </c>
      <c r="AB8" s="247">
        <f>IF(AC8&lt;&gt;"",VLOOKUP($B$3,'Grille IND'!$A$5:$F$653,6,FALSE),"")</f>
      </c>
      <c r="AC8" s="117">
        <f t="shared" si="8"/>
      </c>
      <c r="AO8" s="105" t="str">
        <f t="shared" si="9"/>
        <v>D</v>
      </c>
      <c r="AP8" s="24"/>
    </row>
    <row r="9" spans="1:42" ht="15">
      <c r="A9" s="372"/>
      <c r="B9" s="196"/>
      <c r="C9" s="361"/>
      <c r="D9" s="314">
        <v>43064</v>
      </c>
      <c r="E9" s="259">
        <v>0.625</v>
      </c>
      <c r="F9" s="259">
        <v>0.7083333333333334</v>
      </c>
      <c r="G9" s="259">
        <f t="shared" si="0"/>
        <v>0.08333333333333337</v>
      </c>
      <c r="H9" s="206">
        <f t="shared" si="1"/>
      </c>
      <c r="I9" s="206">
        <f t="shared" si="2"/>
      </c>
      <c r="J9" s="206">
        <f t="shared" si="10"/>
      </c>
      <c r="K9" s="126">
        <f t="shared" si="11"/>
      </c>
      <c r="L9" s="206">
        <f t="shared" si="12"/>
        <v>0.08333333333333337</v>
      </c>
      <c r="M9" s="126">
        <f t="shared" si="3"/>
        <v>2.000000000000001</v>
      </c>
      <c r="N9" s="270" t="str">
        <f>IF(AND(K9="",M9=""),"",IF(OR(SUM(K$3:K9,M$3:M9)&lt;=25,AND(SUM(K$3:K8,M$3:M8)&lt;=25,SUM(K$3:K8,M$3:M8,M9,K9)&gt;25)),"O","N"))</f>
        <v>N</v>
      </c>
      <c r="O9" s="132">
        <f>IF(OR(N9="N",N9=""),"",IF(K9="","",IF((25-SUM($O$3:O8,$P$3:P8))&gt;K9,K9,25-SUM($O$3:O8,$P$3:P8))))</f>
      </c>
      <c r="P9" s="126">
        <f>IF(OR(N9="N",N9=""),"",IF(M9="","",IF((25-SUM($O$3:O9,$P$3:P8))&gt;M9,M9,25-SUM($O$3:O9,$P$3:P8))))</f>
      </c>
      <c r="Q9" s="127" t="str">
        <f t="shared" si="4"/>
        <v>O</v>
      </c>
      <c r="R9" s="127">
        <f t="shared" si="13"/>
      </c>
      <c r="S9" s="150">
        <f t="shared" si="14"/>
        <v>2.000000000000001</v>
      </c>
      <c r="T9" s="23">
        <f>IF(N9="O",MAX(T$2:T8)+1,"")</f>
      </c>
      <c r="U9" s="23">
        <f>IF(Q9="O",MAX(U$2:U8)+1,"")</f>
        <v>3</v>
      </c>
      <c r="V9" s="244">
        <f>IF(W9&lt;&gt;"",VLOOKUP($B$3,'Grille IND'!$A$5:$F$653,3,FALSE),"")</f>
      </c>
      <c r="W9" s="114">
        <f t="shared" si="5"/>
      </c>
      <c r="X9" s="245">
        <f>IF(Y9&lt;&gt;"",VLOOKUP($B$3,'Grille IND'!$A$5:$F$653,4,FALSE),"")</f>
      </c>
      <c r="Y9" s="115">
        <f t="shared" si="6"/>
      </c>
      <c r="Z9" s="246">
        <f>IF(AA9&lt;&gt;"",VLOOKUP($B$3,'Grille IND'!$A$5:$F$653,5,FALSE),"")</f>
      </c>
      <c r="AA9" s="116">
        <f t="shared" si="7"/>
      </c>
      <c r="AB9" s="247">
        <f>IF(AC9&lt;&gt;"",VLOOKUP($B$3,'Grille IND'!$A$5:$F$653,6,FALSE),"")</f>
      </c>
      <c r="AC9" s="117">
        <f t="shared" si="8"/>
      </c>
      <c r="AO9" s="105">
        <f t="shared" si="9"/>
      </c>
      <c r="AP9" s="24"/>
    </row>
    <row r="10" spans="1:42" ht="15">
      <c r="A10" s="372"/>
      <c r="B10" s="196"/>
      <c r="C10" s="361"/>
      <c r="D10" s="315"/>
      <c r="E10" s="206"/>
      <c r="F10" s="206"/>
      <c r="G10" s="206">
        <f t="shared" si="0"/>
      </c>
      <c r="H10" s="206">
        <f t="shared" si="1"/>
      </c>
      <c r="I10" s="206">
        <f t="shared" si="2"/>
      </c>
      <c r="J10" s="206">
        <f t="shared" si="10"/>
      </c>
      <c r="K10" s="126">
        <f t="shared" si="11"/>
      </c>
      <c r="L10" s="206">
        <f t="shared" si="12"/>
      </c>
      <c r="M10" s="126">
        <f t="shared" si="3"/>
      </c>
      <c r="N10" s="270">
        <f>IF(AND(K10="",M10=""),"",IF(OR(SUM(K$3:K10,M$3:M10)&lt;=25,AND(SUM(K$3:K9,M$3:M9)&lt;=25,SUM(K$3:K9,M$3:M9,M10,K10)&gt;25)),"O","N"))</f>
      </c>
      <c r="O10" s="132">
        <f>IF(OR(N10="N",N10=""),"",IF(K10="","",IF((25-SUM($O$3:O9,$P$3:P9))&gt;K10,K10,25-SUM($O$3:O9,$P$3:P9))))</f>
      </c>
      <c r="P10" s="126">
        <f>IF(OR(N10="N",N10=""),"",IF(M10="","",IF((25-SUM($O$3:O10,$P$3:P9))&gt;M10,M10,25-SUM($O$3:O10,$P$3:P9))))</f>
      </c>
      <c r="Q10" s="127">
        <f t="shared" si="4"/>
      </c>
      <c r="R10" s="127">
        <f t="shared" si="13"/>
      </c>
      <c r="S10" s="150">
        <f t="shared" si="14"/>
      </c>
      <c r="T10" s="23">
        <f>IF(N10="O",MAX(T$2:T9)+1,"")</f>
      </c>
      <c r="U10" s="23">
        <f>IF(Q10="O",MAX(U$2:U9)+1,"")</f>
      </c>
      <c r="V10" s="244">
        <f>IF(W10&lt;&gt;"",VLOOKUP($B$3,'Grille IND'!$A$5:$F$653,3,FALSE),"")</f>
      </c>
      <c r="W10" s="114">
        <f t="shared" si="5"/>
      </c>
      <c r="X10" s="245">
        <f>IF(Y10&lt;&gt;"",VLOOKUP($B$3,'Grille IND'!$A$5:$F$653,4,FALSE),"")</f>
      </c>
      <c r="Y10" s="115">
        <f t="shared" si="6"/>
      </c>
      <c r="Z10" s="246">
        <f>IF(AA10&lt;&gt;"",VLOOKUP($B$3,'Grille IND'!$A$5:$F$653,5,FALSE),"")</f>
      </c>
      <c r="AA10" s="116">
        <f t="shared" si="7"/>
      </c>
      <c r="AB10" s="247">
        <f>IF(AC10&lt;&gt;"",VLOOKUP($B$3,'Grille IND'!$A$5:$F$653,6,FALSE),"")</f>
      </c>
      <c r="AC10" s="117">
        <f t="shared" si="8"/>
      </c>
      <c r="AO10" s="105">
        <f t="shared" si="9"/>
      </c>
      <c r="AP10" s="24"/>
    </row>
    <row r="11" spans="1:42" ht="15">
      <c r="A11" s="372"/>
      <c r="B11" s="196"/>
      <c r="C11" s="361"/>
      <c r="D11" s="316"/>
      <c r="E11" s="206"/>
      <c r="F11" s="206"/>
      <c r="G11" s="206">
        <f t="shared" si="0"/>
      </c>
      <c r="H11" s="206">
        <f t="shared" si="1"/>
      </c>
      <c r="I11" s="206">
        <f t="shared" si="2"/>
      </c>
      <c r="J11" s="206">
        <f t="shared" si="10"/>
      </c>
      <c r="K11" s="126">
        <f t="shared" si="11"/>
      </c>
      <c r="L11" s="206">
        <f t="shared" si="12"/>
      </c>
      <c r="M11" s="126">
        <f t="shared" si="3"/>
      </c>
      <c r="N11" s="270">
        <f>IF(AND(K11="",M11=""),"",IF(OR(SUM(K$3:K11,M$3:M11)&lt;=25,AND(SUM(K$3:K10,M$3:M10)&lt;=25,SUM(K$3:K10,M$3:M10,M11,K11)&gt;25)),"O","N"))</f>
      </c>
      <c r="O11" s="132">
        <f>IF(OR(N11="N",N11=""),"",IF(K11="","",IF((25-SUM($O$3:O10,$P$3:P10))&gt;K11,K11,25-SUM($O$3:O10,$P$3:P10))))</f>
      </c>
      <c r="P11" s="126">
        <f>IF(OR(N11="N",N11=""),"",IF(M11="","",IF((25-SUM($O$3:O11,$P$3:P10))&gt;M11,M11,25-SUM($O$3:O11,$P$3:P10))))</f>
      </c>
      <c r="Q11" s="127">
        <f t="shared" si="4"/>
      </c>
      <c r="R11" s="127">
        <f t="shared" si="13"/>
      </c>
      <c r="S11" s="150">
        <f t="shared" si="14"/>
      </c>
      <c r="T11" s="23">
        <f>IF(N11="O",MAX(T$2:T10)+1,"")</f>
      </c>
      <c r="U11" s="23">
        <f>IF(Q11="O",MAX(U$2:U10)+1,"")</f>
      </c>
      <c r="V11" s="244">
        <f>IF(W11&lt;&gt;"",VLOOKUP($B$3,'Grille IND'!$A$5:$F$653,3,FALSE),"")</f>
      </c>
      <c r="W11" s="114">
        <f t="shared" si="5"/>
      </c>
      <c r="X11" s="245">
        <f>IF(Y11&lt;&gt;"",VLOOKUP($B$3,'Grille IND'!$A$5:$F$653,4,FALSE),"")</f>
      </c>
      <c r="Y11" s="115">
        <f t="shared" si="6"/>
      </c>
      <c r="Z11" s="246">
        <f>IF(AA11&lt;&gt;"",VLOOKUP($B$3,'Grille IND'!$A$5:$F$653,5,FALSE),"")</f>
      </c>
      <c r="AA11" s="116">
        <f t="shared" si="7"/>
      </c>
      <c r="AB11" s="247">
        <f>IF(AC11&lt;&gt;"",VLOOKUP($B$3,'Grille IND'!$A$5:$F$653,6,FALSE),"")</f>
      </c>
      <c r="AC11" s="117">
        <f t="shared" si="8"/>
      </c>
      <c r="AO11" s="105">
        <f t="shared" si="9"/>
      </c>
      <c r="AP11" s="24"/>
    </row>
    <row r="12" spans="1:42" ht="15">
      <c r="A12" s="372"/>
      <c r="B12" s="196"/>
      <c r="C12" s="361"/>
      <c r="D12" s="316"/>
      <c r="E12" s="206"/>
      <c r="F12" s="216"/>
      <c r="G12" s="206">
        <f t="shared" si="0"/>
      </c>
      <c r="H12" s="206">
        <f t="shared" si="1"/>
      </c>
      <c r="I12" s="206">
        <f t="shared" si="2"/>
      </c>
      <c r="J12" s="206">
        <f t="shared" si="10"/>
      </c>
      <c r="K12" s="126">
        <f t="shared" si="11"/>
      </c>
      <c r="L12" s="206">
        <f t="shared" si="12"/>
      </c>
      <c r="M12" s="126">
        <f t="shared" si="3"/>
      </c>
      <c r="N12" s="270">
        <f>IF(AND(K12="",M12=""),"",IF(OR(SUM(K$3:K12,M$3:M12)&lt;=25,AND(SUM(K$3:K11,M$3:M11)&lt;=25,SUM(K$3:K11,M$3:M11,M12,K12)&gt;25)),"O","N"))</f>
      </c>
      <c r="O12" s="132">
        <f>IF(OR(N12="N",N12=""),"",IF(K12="","",IF((25-SUM($O$3:O11,$P$3:P11))&gt;K12,K12,25-SUM($O$3:O11,$P$3:P11))))</f>
      </c>
      <c r="P12" s="126">
        <f>IF(OR(N12="N",N12=""),"",IF(M12="","",IF((25-SUM($O$3:O12,$P$3:P11))&gt;M12,M12,25-SUM($O$3:O12,$P$3:P11))))</f>
      </c>
      <c r="Q12" s="127">
        <f t="shared" si="4"/>
      </c>
      <c r="R12" s="127">
        <f t="shared" si="13"/>
      </c>
      <c r="S12" s="150">
        <f t="shared" si="14"/>
      </c>
      <c r="T12" s="23">
        <f>IF(N12="O",MAX(T$2:T11)+1,"")</f>
      </c>
      <c r="U12" s="23">
        <f>IF(Q12="O",MAX(U$2:U11)+1,"")</f>
      </c>
      <c r="V12" s="244">
        <f>IF(W12&lt;&gt;"",VLOOKUP($B$3,'Grille IND'!$A$5:$F$653,3,FALSE),"")</f>
      </c>
      <c r="W12" s="114">
        <f t="shared" si="5"/>
      </c>
      <c r="X12" s="245">
        <f>IF(Y12&lt;&gt;"",VLOOKUP($B$3,'Grille IND'!$A$5:$F$653,4,FALSE),"")</f>
      </c>
      <c r="Y12" s="115">
        <f t="shared" si="6"/>
      </c>
      <c r="Z12" s="246">
        <f>IF(AA12&lt;&gt;"",VLOOKUP($B$3,'Grille IND'!$A$5:$F$653,5,FALSE),"")</f>
      </c>
      <c r="AA12" s="116">
        <f t="shared" si="7"/>
      </c>
      <c r="AB12" s="247">
        <f>IF(AC12&lt;&gt;"",VLOOKUP($B$3,'Grille IND'!$A$5:$F$653,6,FALSE),"")</f>
      </c>
      <c r="AC12" s="117">
        <f t="shared" si="8"/>
      </c>
      <c r="AO12" s="105">
        <f t="shared" si="9"/>
      </c>
      <c r="AP12" s="24"/>
    </row>
    <row r="13" spans="1:42" ht="15">
      <c r="A13" s="372"/>
      <c r="B13" s="196"/>
      <c r="C13" s="361"/>
      <c r="D13" s="316"/>
      <c r="E13" s="206"/>
      <c r="F13" s="216"/>
      <c r="G13" s="206">
        <f t="shared" si="0"/>
      </c>
      <c r="H13" s="206">
        <f t="shared" si="1"/>
      </c>
      <c r="I13" s="206">
        <f t="shared" si="2"/>
      </c>
      <c r="J13" s="206">
        <f t="shared" si="10"/>
      </c>
      <c r="K13" s="126">
        <f t="shared" si="11"/>
      </c>
      <c r="L13" s="206">
        <f t="shared" si="12"/>
      </c>
      <c r="M13" s="126">
        <f t="shared" si="3"/>
      </c>
      <c r="N13" s="270">
        <f>IF(AND(K13="",M13=""),"",IF(OR(SUM(K$3:K13,M$3:M13)&lt;=25,AND(SUM(K$3:K12,M$3:M12)&lt;=25,SUM(K$3:K12,M$3:M12,M13,K13)&gt;25)),"O","N"))</f>
      </c>
      <c r="O13" s="132">
        <f>IF(OR(N13="N",N13=""),"",IF(K13="","",IF((25-SUM($O$3:O12,$P$3:P12))&gt;K13,K13,25-SUM($O$3:O12,$P$3:P12))))</f>
      </c>
      <c r="P13" s="126">
        <f>IF(OR(N13="N",N13=""),"",IF(M13="","",IF((25-SUM($O$3:O13,$P$3:P12))&gt;M13,M13,25-SUM($O$3:O13,$P$3:P12))))</f>
      </c>
      <c r="Q13" s="127">
        <f t="shared" si="4"/>
      </c>
      <c r="R13" s="127">
        <f t="shared" si="13"/>
      </c>
      <c r="S13" s="150">
        <f t="shared" si="14"/>
      </c>
      <c r="T13" s="23">
        <f>IF(N13="O",MAX(T$2:T12)+1,"")</f>
      </c>
      <c r="U13" s="23">
        <f>IF(Q13="O",MAX(U$2:U12)+1,"")</f>
      </c>
      <c r="V13" s="244">
        <f>IF(W13&lt;&gt;"",VLOOKUP($B$3,'Grille IND'!$A$5:$F$653,3,FALSE),"")</f>
      </c>
      <c r="W13" s="114">
        <f t="shared" si="5"/>
      </c>
      <c r="X13" s="245">
        <f>IF(Y13&lt;&gt;"",VLOOKUP($B$3,'Grille IND'!$A$5:$F$653,4,FALSE),"")</f>
      </c>
      <c r="Y13" s="115">
        <f t="shared" si="6"/>
      </c>
      <c r="Z13" s="246">
        <f>IF(AA13&lt;&gt;"",VLOOKUP($B$3,'Grille IND'!$A$5:$F$653,5,FALSE),"")</f>
      </c>
      <c r="AA13" s="116">
        <f t="shared" si="7"/>
      </c>
      <c r="AB13" s="247">
        <f>IF(AC13&lt;&gt;"",VLOOKUP($B$3,'Grille IND'!$A$5:$F$653,6,FALSE),"")</f>
      </c>
      <c r="AC13" s="117">
        <f t="shared" si="8"/>
      </c>
      <c r="AO13" s="105">
        <f t="shared" si="9"/>
      </c>
      <c r="AP13" s="24"/>
    </row>
    <row r="14" spans="1:42" ht="15">
      <c r="A14" s="372"/>
      <c r="B14" s="196"/>
      <c r="C14" s="361"/>
      <c r="D14" s="316"/>
      <c r="E14" s="206"/>
      <c r="F14" s="216"/>
      <c r="G14" s="206">
        <f t="shared" si="0"/>
      </c>
      <c r="H14" s="206">
        <f t="shared" si="1"/>
      </c>
      <c r="I14" s="206">
        <f t="shared" si="2"/>
      </c>
      <c r="J14" s="206">
        <f t="shared" si="10"/>
      </c>
      <c r="K14" s="126">
        <f t="shared" si="11"/>
      </c>
      <c r="L14" s="206">
        <f t="shared" si="12"/>
      </c>
      <c r="M14" s="126">
        <f t="shared" si="3"/>
      </c>
      <c r="N14" s="270">
        <f>IF(AND(K14="",M14=""),"",IF(OR(SUM(K$3:K14,M$3:M14)&lt;=25,AND(SUM(K$3:K13,M$3:M13)&lt;=25,SUM(K$3:K13,M$3:M13,M14,K14)&gt;25)),"O","N"))</f>
      </c>
      <c r="O14" s="132">
        <f>IF(OR(N14="N",N14=""),"",IF(K14="","",IF((25-SUM($O$3:O13,$P$3:P13))&gt;K14,K14,25-SUM($O$3:O13,$P$3:P13))))</f>
      </c>
      <c r="P14" s="126">
        <f>IF(OR(N14="N",N14=""),"",IF(M14="","",IF((25-SUM($O$3:O14,$P$3:P13))&gt;M14,M14,25-SUM($O$3:O14,$P$3:P13))))</f>
      </c>
      <c r="Q14" s="127">
        <f t="shared" si="4"/>
      </c>
      <c r="R14" s="127">
        <f t="shared" si="13"/>
      </c>
      <c r="S14" s="150">
        <f t="shared" si="14"/>
      </c>
      <c r="T14" s="23"/>
      <c r="U14" s="23">
        <f>IF(Q14="O",MAX(U$2:U13)+1,"")</f>
      </c>
      <c r="V14" s="244">
        <f>IF(W14&lt;&gt;"",VLOOKUP($B$3,'Grille IND'!$A$5:$F$653,3,FALSE),"")</f>
      </c>
      <c r="W14" s="114">
        <f t="shared" si="5"/>
      </c>
      <c r="X14" s="245">
        <f>IF(Y14&lt;&gt;"",VLOOKUP($B$3,'Grille IND'!$A$5:$F$653,4,FALSE),"")</f>
      </c>
      <c r="Y14" s="115">
        <f t="shared" si="6"/>
      </c>
      <c r="Z14" s="246">
        <f>IF(AA14&lt;&gt;"",VLOOKUP($B$3,'Grille IND'!$A$5:$F$653,5,FALSE),"")</f>
      </c>
      <c r="AA14" s="116">
        <f t="shared" si="7"/>
      </c>
      <c r="AB14" s="247">
        <f>IF(AC14&lt;&gt;"",VLOOKUP($B$3,'Grille IND'!$A$5:$F$653,6,FALSE),"")</f>
      </c>
      <c r="AC14" s="117">
        <f t="shared" si="8"/>
      </c>
      <c r="AO14" s="105">
        <f t="shared" si="9"/>
      </c>
      <c r="AP14" s="24"/>
    </row>
    <row r="15" spans="1:42" ht="15">
      <c r="A15" s="372"/>
      <c r="B15" s="196"/>
      <c r="C15" s="361"/>
      <c r="D15" s="316"/>
      <c r="E15" s="206"/>
      <c r="F15" s="216"/>
      <c r="G15" s="206">
        <f t="shared" si="0"/>
      </c>
      <c r="H15" s="206">
        <f t="shared" si="1"/>
      </c>
      <c r="I15" s="206">
        <f t="shared" si="2"/>
      </c>
      <c r="J15" s="206">
        <f t="shared" si="10"/>
      </c>
      <c r="K15" s="126">
        <f t="shared" si="11"/>
      </c>
      <c r="L15" s="206">
        <f t="shared" si="12"/>
      </c>
      <c r="M15" s="126">
        <f t="shared" si="3"/>
      </c>
      <c r="N15" s="270">
        <f>IF(AND(K15="",M15=""),"",IF(OR(SUM(K$3:K15,M$3:M15)&lt;=25,AND(SUM(K$3:K14,M$3:M14)&lt;=25,SUM(K$3:K14,M$3:M14,M15,K15)&gt;25)),"O","N"))</f>
      </c>
      <c r="O15" s="132">
        <f>IF(OR(N15="N",N15=""),"",IF(K15="","",IF((25-SUM($O$3:O14,$P$3:P14))&gt;K15,K15,25-SUM($O$3:O14,$P$3:P14))))</f>
      </c>
      <c r="P15" s="126">
        <f>IF(OR(N15="N",N15=""),"",IF(M15="","",IF((25-SUM($O$3:O15,$P$3:P14))&gt;M15,M15,25-SUM($O$3:O15,$P$3:P14))))</f>
      </c>
      <c r="Q15" s="127">
        <f t="shared" si="4"/>
      </c>
      <c r="R15" s="127">
        <f t="shared" si="13"/>
      </c>
      <c r="S15" s="150">
        <f t="shared" si="14"/>
      </c>
      <c r="T15" s="23">
        <f>IF(N15="O",MAX(T$2:T13)+1,"")</f>
      </c>
      <c r="U15" s="23">
        <f>IF(Q15="O",MAX(U$2:U14)+1,"")</f>
      </c>
      <c r="V15" s="244">
        <f>IF(W15&lt;&gt;"",VLOOKUP($B$3,'Grille IND'!$A$5:$F$653,3,FALSE),"")</f>
      </c>
      <c r="W15" s="114">
        <f t="shared" si="5"/>
      </c>
      <c r="X15" s="245">
        <f>IF(Y15&lt;&gt;"",VLOOKUP($B$3,'Grille IND'!$A$5:$F$653,4,FALSE),"")</f>
      </c>
      <c r="Y15" s="115">
        <f t="shared" si="6"/>
      </c>
      <c r="Z15" s="246">
        <f>IF(AA15&lt;&gt;"",VLOOKUP($B$3,'Grille IND'!$A$5:$F$653,5,FALSE),"")</f>
      </c>
      <c r="AA15" s="116">
        <f t="shared" si="7"/>
      </c>
      <c r="AB15" s="247">
        <f>IF(AC15&lt;&gt;"",VLOOKUP($B$3,'Grille IND'!$A$5:$F$653,6,FALSE),"")</f>
      </c>
      <c r="AC15" s="117">
        <f t="shared" si="8"/>
      </c>
      <c r="AO15" s="105">
        <f t="shared" si="9"/>
      </c>
      <c r="AP15" s="24"/>
    </row>
    <row r="16" spans="1:42" ht="15">
      <c r="A16" s="372"/>
      <c r="B16" s="196"/>
      <c r="C16" s="361"/>
      <c r="D16" s="316"/>
      <c r="E16" s="206"/>
      <c r="F16" s="216"/>
      <c r="G16" s="206">
        <f t="shared" si="0"/>
      </c>
      <c r="H16" s="206">
        <f t="shared" si="1"/>
      </c>
      <c r="I16" s="206">
        <f t="shared" si="2"/>
      </c>
      <c r="J16" s="206">
        <f t="shared" si="10"/>
      </c>
      <c r="K16" s="126">
        <f t="shared" si="11"/>
      </c>
      <c r="L16" s="206">
        <f t="shared" si="12"/>
      </c>
      <c r="M16" s="126">
        <f t="shared" si="3"/>
      </c>
      <c r="N16" s="270">
        <f>IF(AND(K16="",M16=""),"",IF(OR(SUM(K$3:K16,M$3:M16)&lt;=25,AND(SUM(K$3:K15,M$3:M15)&lt;=25,SUM(K$3:K15,M$3:M15,M16,K16)&gt;25)),"O","N"))</f>
      </c>
      <c r="O16" s="132">
        <f>IF(OR(N16="N",N16=""),"",IF(K16="","",IF((25-SUM($O$3:O15,$P$3:P15))&gt;K16,K16,25-SUM($O$3:O15,$P$3:P15))))</f>
      </c>
      <c r="P16" s="126">
        <f>IF(OR(N16="N",N16=""),"",IF(M16="","",IF((25-SUM($O$3:O16,$P$3:P15))&gt;M16,M16,25-SUM($O$3:O16,$P$3:P15))))</f>
      </c>
      <c r="Q16" s="127">
        <f t="shared" si="4"/>
      </c>
      <c r="R16" s="127">
        <f t="shared" si="13"/>
      </c>
      <c r="S16" s="150">
        <f t="shared" si="14"/>
      </c>
      <c r="T16" s="23">
        <f>IF(N16="O",MAX(T$2:T15)+1,"")</f>
      </c>
      <c r="U16" s="23">
        <f>IF(Q16="O",MAX(U$2:U15)+1,"")</f>
      </c>
      <c r="V16" s="244">
        <f>IF(W16&lt;&gt;"",VLOOKUP($B$3,'Grille IND'!$A$5:$F$653,3,FALSE),"")</f>
      </c>
      <c r="W16" s="114">
        <f t="shared" si="5"/>
      </c>
      <c r="X16" s="245">
        <f>IF(Y16&lt;&gt;"",VLOOKUP($B$3,'Grille IND'!$A$5:$F$653,4,FALSE),"")</f>
      </c>
      <c r="Y16" s="115">
        <f t="shared" si="6"/>
      </c>
      <c r="Z16" s="246">
        <f>IF(AA16&lt;&gt;"",VLOOKUP($B$3,'Grille IND'!$A$5:$F$653,5,FALSE),"")</f>
      </c>
      <c r="AA16" s="116">
        <f t="shared" si="7"/>
      </c>
      <c r="AB16" s="247">
        <f>IF(AC16&lt;&gt;"",VLOOKUP($B$3,'Grille IND'!$A$5:$F$653,6,FALSE),"")</f>
      </c>
      <c r="AC16" s="117">
        <f t="shared" si="8"/>
      </c>
      <c r="AO16" s="105">
        <f t="shared" si="9"/>
      </c>
      <c r="AP16" s="24"/>
    </row>
    <row r="17" spans="1:42" ht="15">
      <c r="A17" s="372"/>
      <c r="B17" s="196"/>
      <c r="C17" s="361"/>
      <c r="D17" s="317"/>
      <c r="E17" s="260"/>
      <c r="F17" s="261"/>
      <c r="G17" s="260">
        <f>IF(AND(E17="",F17=""),"",MOD(F17-E17,1))</f>
      </c>
      <c r="H17" s="260">
        <f t="shared" si="1"/>
      </c>
      <c r="I17" s="260">
        <f t="shared" si="2"/>
      </c>
      <c r="J17" s="260">
        <f>IF(AND(H17="",I17=""),"",SUM(H17,I17))</f>
      </c>
      <c r="K17" s="262">
        <f>IF(J17="","",J17*24)</f>
      </c>
      <c r="L17" s="260">
        <f>IF(AND(E17="",F17=""),"",IF(J17&lt;&gt;"",G17-J17,G17))</f>
      </c>
      <c r="M17" s="262">
        <f>IF(L17="","",L17*24)</f>
      </c>
      <c r="N17" s="270">
        <f>IF(AND(K17="",M17=""),"",IF(OR(SUM(K$3:K17,M$3:M17)&lt;=25,AND(SUM(K$3:K16,M$3:M16)&lt;=25,SUM(K$3:K16,M$3:M16,M17,K17)&gt;25)),"O","N"))</f>
      </c>
      <c r="O17" s="132">
        <f>IF(OR(N17="N",N17=""),"",IF(K17="","",IF((25-SUM($O$3:O16,$P$3:P16))&gt;K17,K17,25-SUM($O$3:O16,$P$3:P16))))</f>
      </c>
      <c r="P17" s="126">
        <f>IF(OR(N17="N",N17=""),"",IF(M17="","",IF((25-SUM($O$3:O17,$P$3:P16))&gt;M17,M17,25-SUM($O$3:O17,$P$3:P16))))</f>
      </c>
      <c r="Q17" s="127">
        <f>IF(AND(N17="O",SUM(O17,P17)=SUM(K17,M17)),"",IF(AND(N17="O",SUM(O17,P17)&lt;SUM(K17,M17)),"O",IF(N17="N","O","")))</f>
      </c>
      <c r="R17" s="127">
        <f>IF(Q17="","",IF(AND(N17="O",Q17="O"),IF(K17="","",K17-O17),IF(N17="N",IF(K17="","",K17),"")))</f>
      </c>
      <c r="S17" s="150">
        <f>IF(Q17="","",IF(AND(N17="O",Q17="O"),IF(M17="","",M17-P17),IF(N17="N",IF(M17="","",M17),"")))</f>
      </c>
      <c r="T17" s="23">
        <f>IF(N17="O",MAX(T$2:T16)+1,"")</f>
      </c>
      <c r="U17" s="23">
        <f>IF(Q17="O",MAX(U$2:U16)+1,"")</f>
      </c>
      <c r="V17" s="244">
        <f>IF(W17&lt;&gt;"",VLOOKUP($B$3,'Grille IND'!$A$5:$F$653,3,FALSE),"")</f>
      </c>
      <c r="W17" s="114">
        <f t="shared" si="5"/>
      </c>
      <c r="X17" s="245">
        <f>IF(Y17&lt;&gt;"",VLOOKUP($B$3,'Grille IND'!$A$5:$F$653,4,FALSE),"")</f>
      </c>
      <c r="Y17" s="115">
        <f t="shared" si="6"/>
      </c>
      <c r="Z17" s="246">
        <f>IF(AA17&lt;&gt;"",VLOOKUP($B$3,'Grille IND'!$A$5:$F$653,5,FALSE),"")</f>
      </c>
      <c r="AA17" s="116">
        <f t="shared" si="7"/>
      </c>
      <c r="AB17" s="247">
        <f>IF(AC17&lt;&gt;"",VLOOKUP($B$3,'Grille IND'!$A$5:$F$653,6,FALSE),"")</f>
      </c>
      <c r="AC17" s="117">
        <f t="shared" si="8"/>
      </c>
      <c r="AO17" s="105">
        <f t="shared" si="9"/>
      </c>
      <c r="AP17" s="24"/>
    </row>
    <row r="18" spans="1:41" ht="16.5" customHeight="1" thickBot="1">
      <c r="A18" s="372"/>
      <c r="B18" s="196"/>
      <c r="C18" s="361"/>
      <c r="D18" s="323"/>
      <c r="E18" s="324"/>
      <c r="F18" s="325"/>
      <c r="G18" s="324"/>
      <c r="H18" s="326"/>
      <c r="I18" s="327" t="s">
        <v>29</v>
      </c>
      <c r="J18" s="328">
        <f>SUM(J3:J12)</f>
        <v>0.10416666666666669</v>
      </c>
      <c r="K18" s="329">
        <f>SUM(K3:K12)</f>
        <v>2.5000000000000004</v>
      </c>
      <c r="L18" s="328">
        <f>SUM(L3:L12)</f>
        <v>1.2916666666666665</v>
      </c>
      <c r="M18" s="329">
        <f>SUM(M3:M12)</f>
        <v>31</v>
      </c>
      <c r="N18" s="330"/>
      <c r="O18" s="336">
        <f>SUM(O3:P17)</f>
        <v>25</v>
      </c>
      <c r="P18" s="336"/>
      <c r="Q18" s="177"/>
      <c r="R18" s="257">
        <f>SUM(R3:R17)</f>
        <v>0.75</v>
      </c>
      <c r="S18" s="257">
        <f>SUM(S3:S17)</f>
        <v>7.749999999999997</v>
      </c>
      <c r="T18" s="23"/>
      <c r="U18" s="23"/>
      <c r="V18" s="239"/>
      <c r="W18" s="239">
        <f>SUM(W3:W17)</f>
        <v>15.25</v>
      </c>
      <c r="X18" s="240"/>
      <c r="Y18" s="240">
        <f>SUM(Y3:Y17)</f>
        <v>1</v>
      </c>
      <c r="Z18" s="248"/>
      <c r="AA18" s="241">
        <f>SUM(AA3:AA17)</f>
        <v>6.999999999999998</v>
      </c>
      <c r="AB18" s="242"/>
      <c r="AC18" s="242">
        <f>SUM(AC3:AC17)</f>
        <v>1.7500000000000004</v>
      </c>
      <c r="AO18" s="105">
        <f t="shared" si="9"/>
      </c>
    </row>
    <row r="19" spans="1:41" ht="18.75" customHeight="1" thickBot="1">
      <c r="A19" s="197"/>
      <c r="B19" s="131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9"/>
      <c r="U19" s="29"/>
      <c r="V19" s="239"/>
      <c r="W19" s="243">
        <f>SUMPRODUCT(V3:V17,W3:W17)</f>
        <v>242.6275</v>
      </c>
      <c r="X19" s="240"/>
      <c r="Y19" s="249">
        <f>SUMPRODUCT(X3:X17,Y3:Y17)</f>
        <v>16.17</v>
      </c>
      <c r="Z19" s="241"/>
      <c r="AA19" s="250">
        <f>SUMPRODUCT(Z3:Z17,AA3:AA17)</f>
        <v>185.63999999999993</v>
      </c>
      <c r="AB19" s="242"/>
      <c r="AC19" s="251">
        <f>SUMPRODUCT(AB3:AB17,AC3:AC17)</f>
        <v>55.68500000000002</v>
      </c>
      <c r="AO19" s="105">
        <f t="shared" si="9"/>
      </c>
    </row>
    <row r="20" spans="1:41" ht="14.25" customHeight="1">
      <c r="A20" s="347" t="s">
        <v>160</v>
      </c>
      <c r="B20" s="318">
        <f>VLOOKUP($B$1,INFOS!A:AU,39,FALSE)</f>
        <v>457</v>
      </c>
      <c r="C20" s="338" t="s">
        <v>31</v>
      </c>
      <c r="D20" s="404" t="s">
        <v>170</v>
      </c>
      <c r="E20" s="402"/>
      <c r="F20" s="402"/>
      <c r="G20" s="402"/>
      <c r="H20" s="402"/>
      <c r="I20" s="402"/>
      <c r="J20" s="402"/>
      <c r="K20" s="402"/>
      <c r="L20" s="402"/>
      <c r="M20" s="403"/>
      <c r="N20" s="339" t="s">
        <v>32</v>
      </c>
      <c r="O20" s="340"/>
      <c r="P20" s="340"/>
      <c r="Q20" s="341"/>
      <c r="R20" s="345">
        <f>R18</f>
        <v>0.75</v>
      </c>
      <c r="S20" s="331">
        <f>S18</f>
        <v>7.749999999999997</v>
      </c>
      <c r="T20" s="23">
        <f>IF(N20="O",MAX(T$19:T19)+1,"")</f>
      </c>
      <c r="U20" s="23"/>
      <c r="V20" s="34"/>
      <c r="X20" s="34"/>
      <c r="Y20" s="34"/>
      <c r="Z20" s="34"/>
      <c r="AA20" s="34"/>
      <c r="AB20" s="34"/>
      <c r="AC20" s="34"/>
      <c r="AO20" s="397"/>
    </row>
    <row r="21" spans="1:41" ht="15" customHeight="1">
      <c r="A21" s="348"/>
      <c r="B21" s="319">
        <f>VLOOKUP($B$1,INFOS!A:AU,40,FALSE)</f>
        <v>1</v>
      </c>
      <c r="C21" s="338"/>
      <c r="D21" s="406"/>
      <c r="E21" s="406"/>
      <c r="F21" s="406"/>
      <c r="G21" s="406"/>
      <c r="H21" s="406"/>
      <c r="I21" s="406"/>
      <c r="J21" s="406"/>
      <c r="K21" s="406"/>
      <c r="L21" s="406"/>
      <c r="M21" s="407"/>
      <c r="N21" s="342"/>
      <c r="O21" s="343"/>
      <c r="P21" s="343"/>
      <c r="Q21" s="344"/>
      <c r="R21" s="346"/>
      <c r="S21" s="332"/>
      <c r="T21" s="23">
        <f>IF(N21="O",MAX(T$19:T20)+1,"")</f>
      </c>
      <c r="U21" s="23"/>
      <c r="V21" s="34"/>
      <c r="X21" s="34"/>
      <c r="Y21" s="34"/>
      <c r="Z21" s="34"/>
      <c r="AA21" s="34"/>
      <c r="AB21" s="34"/>
      <c r="AC21" s="34"/>
      <c r="AO21" s="397"/>
    </row>
    <row r="22" spans="1:41" ht="15">
      <c r="A22" s="348"/>
      <c r="B22" s="355" t="str">
        <f>VLOOKUP($B$1,INFOS!A:AU,9,FALSE)</f>
        <v>Direction Générale des Services</v>
      </c>
      <c r="C22" s="338"/>
      <c r="D22" s="311">
        <f>IF(ROWS($D$22:D22)&lt;=MAX($U$3:$U$17),INDEX($D$3:$D$17,MATCH(ROWS($D$22:D22),$U$3:$U$17,0)),"")</f>
        <v>43057</v>
      </c>
      <c r="E22" s="203">
        <f>IF(D22&lt;&gt;"",_xlfn.IFERROR(VLOOKUP($D22,$D$3:$S$17,COLUMN(B$1),0),""),"")</f>
        <v>0.7083333333333334</v>
      </c>
      <c r="F22" s="203">
        <f>IF(D22&lt;&gt;"",_xlfn.IFERROR(VLOOKUP($D22,$D$3:$S$17,COLUMN(C$1),0),""),"")</f>
        <v>0.9166666666666666</v>
      </c>
      <c r="G22" s="203">
        <f>IF($D22&lt;&gt;"",_xlfn.IFERROR(VLOOKUP($D22,$D$3:$S$17,COLUMN(D$1),0),""),"")</f>
        <v>0.20833333333333326</v>
      </c>
      <c r="H22" s="203">
        <f aca="true" t="shared" si="15" ref="H22:M22">IF($D22&lt;&gt;"",_xlfn.IFERROR(VLOOKUP($D22,$D$3:$S$17,COLUMN(E$1),0),""),"")</f>
      </c>
      <c r="I22" s="203">
        <f t="shared" si="15"/>
      </c>
      <c r="J22" s="203">
        <f t="shared" si="15"/>
      </c>
      <c r="K22" s="176">
        <f t="shared" si="15"/>
      </c>
      <c r="L22" s="203">
        <f t="shared" si="15"/>
        <v>0.20833333333333326</v>
      </c>
      <c r="M22" s="176">
        <f t="shared" si="15"/>
        <v>4.999999999999998</v>
      </c>
      <c r="N22" s="289" t="str">
        <f>IF(OR(O22&lt;&gt;"",P22&lt;&gt;""),"O","")</f>
        <v>O</v>
      </c>
      <c r="O22" s="290">
        <f aca="true" t="shared" si="16" ref="O22:P26">IF($D22&lt;&gt;"",_xlfn.IFERROR(VLOOKUP($D22,$D$3:$S$17,COLUMN(O$1),0),""),"")</f>
      </c>
      <c r="P22" s="290">
        <f t="shared" si="16"/>
        <v>3.7499999999999982</v>
      </c>
      <c r="Q22" s="291"/>
      <c r="R22" s="291"/>
      <c r="S22" s="292"/>
      <c r="T22" s="23">
        <f>IF(N22="O",MAX(T$20:T21)+1,"")</f>
        <v>1</v>
      </c>
      <c r="U22" s="23">
        <f>IF(Q22="O",MAX(U$20:U21)+1,"")</f>
      </c>
      <c r="V22" s="106">
        <f>IF(W22&lt;&gt;"",VLOOKUP($B$20,'Grille IND'!$A$5:$F$653,3,FALSE),"")</f>
        <v>15.91</v>
      </c>
      <c r="W22" s="106">
        <f>IF(T22="","",IF(OR(AO22="D",AO22="F"),"",IF(OR(AND(N22="O",Q22="",P22&lt;=14),AND(N22="O",Q22="O",P22&lt;=14)),P22,14)))</f>
        <v>3.7499999999999982</v>
      </c>
      <c r="X22" s="107">
        <f>IF(Y22&lt;&gt;"",VLOOKUP($B$20,'Grille IND'!$A$5:$F$653,4,FALSE),"")</f>
      </c>
      <c r="Y22" s="107">
        <f>IF(T22="","",IF(OR(AO22="D",AO22="F"),"",IF(OR(AND(N22="O",Q22="",P22&gt;14),AND(N22="O",Q22="O",P22&gt;14)),P22-14,"")))</f>
      </c>
      <c r="Z22" s="108">
        <f>IF(AA22&lt;&gt;"",VLOOKUP($B$20,'Grille IND'!$A$5:$F$653,5,FALSE),"")</f>
      </c>
      <c r="AA22" s="108">
        <f>IF(T22="","",IF(OR(AND(OR(AO22="D",AO22="F"),N22="O",Q22=""),AND(OR(AO22="D",AO22="F"),N22="O",Q22="O")),P22,""))</f>
      </c>
      <c r="AB22" s="109">
        <f>IF(AC22&lt;&gt;"",VLOOKUP($B$20,'Grille IND'!$A$5:$F$653,6,FALSE),"")</f>
      </c>
      <c r="AC22" s="109">
        <f>IF(T22="","",IF(O22="","",O22))</f>
      </c>
      <c r="AO22" s="105">
        <f t="shared" si="9"/>
      </c>
    </row>
    <row r="23" spans="1:41" ht="15">
      <c r="A23" s="348"/>
      <c r="B23" s="355"/>
      <c r="C23" s="338"/>
      <c r="D23" s="311">
        <f>IF(ROWS($D$22:D23)&lt;=MAX($U$3:$U$17),INDEX($D$3:$D$17,MATCH(ROWS($D$22:D23),$U$3:$U$17,0)),"")</f>
        <v>43058</v>
      </c>
      <c r="E23" s="203">
        <f>IF(D23&lt;&gt;"",_xlfn.IFERROR(VLOOKUP($D23,$D$3:$S$17,COLUMN(B$1),0),""),"")</f>
        <v>0.8333333333333334</v>
      </c>
      <c r="F23" s="203">
        <f>IF(D23&lt;&gt;"",_xlfn.IFERROR(VLOOKUP($D23,$D$3:$S$17,COLUMN(C$1),0),""),"")</f>
        <v>0.9479166666666666</v>
      </c>
      <c r="G23" s="203">
        <f>IF(D23&lt;&gt;"",_xlfn.IFERROR(VLOOKUP($D23,$D$3:$S$17,COLUMN(D$1),0),""),"")</f>
        <v>0.11458333333333326</v>
      </c>
      <c r="H23" s="203">
        <f aca="true" t="shared" si="17" ref="H23:M26">IF($D23&lt;&gt;"",_xlfn.IFERROR(VLOOKUP($D23,$D$3:$S$17,COLUMN(E$1),0),""),"")</f>
      </c>
      <c r="I23" s="203">
        <f t="shared" si="17"/>
        <v>0.03125</v>
      </c>
      <c r="J23" s="203">
        <f t="shared" si="17"/>
        <v>0.03125</v>
      </c>
      <c r="K23" s="176">
        <f t="shared" si="17"/>
        <v>0.75</v>
      </c>
      <c r="L23" s="203">
        <f t="shared" si="17"/>
        <v>0.08333333333333326</v>
      </c>
      <c r="M23" s="176">
        <f t="shared" si="17"/>
        <v>1.9999999999999982</v>
      </c>
      <c r="N23" s="293" t="str">
        <f>IF(OR(O23&lt;&gt;"",P23&lt;&gt;""),"O","")</f>
        <v>O</v>
      </c>
      <c r="O23" s="294">
        <f t="shared" si="16"/>
        <v>0.75</v>
      </c>
      <c r="P23" s="294">
        <f t="shared" si="16"/>
        <v>1.9999999999999982</v>
      </c>
      <c r="Q23" s="295"/>
      <c r="R23" s="295"/>
      <c r="S23" s="296"/>
      <c r="T23" s="23">
        <f>IF(N23="O",MAX(T$20:T22)+1,"")</f>
        <v>2</v>
      </c>
      <c r="U23" s="23">
        <f>IF(Q23="O",MAX(U$20:U22)+1,"")</f>
      </c>
      <c r="V23" s="106">
        <f>IF(W23&lt;&gt;"",VLOOKUP($B$20,'Grille IND'!$A$5:$F$653,3,FALSE),"")</f>
      </c>
      <c r="W23" s="106">
        <f>IF(T23="","",IF(OR(AO23="D",AO23="F"),"",IF(OR(AND(N23="O",Q23="",P23&lt;=14),AND(N23="O",Q23="O",P23&lt;=14)),P23,14)))</f>
      </c>
      <c r="X23" s="107">
        <f>IF(Y23&lt;&gt;"",VLOOKUP($B$20,'Grille IND'!$A$5:$F$653,4,FALSE),"")</f>
      </c>
      <c r="Y23" s="107">
        <f>IF(T23="","",IF(OR(AO23="D",AO23="F"),"",IF(OR(AND(N23="O",Q23="",P23&gt;14),AND(N23="O",Q23="O",P23&gt;14)),P23-14,"")))</f>
      </c>
      <c r="Z23" s="108">
        <f>IF(AA23&lt;&gt;"",VLOOKUP($B$20,'Grille IND'!$A$5:$F$653,5,FALSE),"")</f>
        <v>26.52</v>
      </c>
      <c r="AA23" s="108">
        <f>IF(T23="","",IF(OR(AND(OR(AO23="D",AO23="F"),N23="O",Q23=""),AND(OR(AO23="D",AO23="F"),N23="O",Q23="O")),P23,""))</f>
        <v>1.9999999999999982</v>
      </c>
      <c r="AB23" s="109">
        <f>IF(AC23&lt;&gt;"",VLOOKUP($B$20,'Grille IND'!$A$5:$F$653,6,FALSE),"")</f>
        <v>31.82</v>
      </c>
      <c r="AC23" s="109">
        <f>IF(T23="","",IF(O23="","",O23))</f>
        <v>0.75</v>
      </c>
      <c r="AO23" s="105" t="str">
        <f t="shared" si="9"/>
        <v>D</v>
      </c>
    </row>
    <row r="24" spans="1:41" ht="15">
      <c r="A24" s="348"/>
      <c r="B24" s="139"/>
      <c r="C24" s="338"/>
      <c r="D24" s="311">
        <f>IF(ROWS($D$22:D24)&lt;=MAX($U$3:$U$17),INDEX($D$3:$D$17,MATCH(ROWS($D$22:D24),$U$3:$U$17,0)),"")</f>
        <v>43064</v>
      </c>
      <c r="E24" s="203">
        <f>IF(D24&lt;&gt;"",_xlfn.IFERROR(VLOOKUP($D24,$D$3:$S$17,COLUMN(B$1),0),""),"")</f>
        <v>0.625</v>
      </c>
      <c r="F24" s="203">
        <f>IF(D24&lt;&gt;"",_xlfn.IFERROR(VLOOKUP($D24,$D$3:$S$17,COLUMN(C$1),0),""),"")</f>
        <v>0.7083333333333334</v>
      </c>
      <c r="G24" s="203">
        <f>IF(D24&lt;&gt;"",_xlfn.IFERROR(VLOOKUP($D24,$D$3:$S$17,COLUMN(D$1),0),""),"")</f>
        <v>0.08333333333333337</v>
      </c>
      <c r="H24" s="203">
        <f t="shared" si="17"/>
      </c>
      <c r="I24" s="203">
        <f t="shared" si="17"/>
      </c>
      <c r="J24" s="203">
        <f t="shared" si="17"/>
      </c>
      <c r="K24" s="176">
        <f t="shared" si="17"/>
      </c>
      <c r="L24" s="203">
        <f t="shared" si="17"/>
        <v>0.08333333333333337</v>
      </c>
      <c r="M24" s="176">
        <f t="shared" si="17"/>
        <v>2.000000000000001</v>
      </c>
      <c r="N24" s="297" t="str">
        <f>IF(OR(O24&lt;&gt;"",P24&lt;&gt;""),"O","")</f>
        <v>O</v>
      </c>
      <c r="O24" s="294">
        <f t="shared" si="16"/>
      </c>
      <c r="P24" s="294">
        <f t="shared" si="16"/>
        <v>2.000000000000001</v>
      </c>
      <c r="Q24" s="298"/>
      <c r="R24" s="298"/>
      <c r="S24" s="299"/>
      <c r="T24" s="23">
        <f>IF(N24="O",MAX(T$20:T23)+1,"")</f>
        <v>3</v>
      </c>
      <c r="U24" s="23">
        <f>IF(Q24="O",MAX(U$20:U23)+1,"")</f>
      </c>
      <c r="V24" s="106">
        <f>IF(W24&lt;&gt;"",VLOOKUP($B$20,'Grille IND'!$A$5:$F$653,3,FALSE),"")</f>
        <v>15.91</v>
      </c>
      <c r="W24" s="106">
        <f>IF(T24="","",IF(OR(AO24="D",AO24="F"),"",IF(OR(AND(N24="O",Q24="",P24&lt;=14),AND(N24="O",Q24="O",P24&lt;=14)),P24,14)))</f>
        <v>2.000000000000001</v>
      </c>
      <c r="X24" s="107">
        <f>IF(Y24&lt;&gt;"",VLOOKUP($B$20,'Grille IND'!$A$5:$F$653,4,FALSE),"")</f>
      </c>
      <c r="Y24" s="107">
        <f>IF(T24="","",IF(OR(AO24="D",AO24="F"),"",IF(OR(AND(N24="O",Q24="",P24&gt;14),AND(N24="O",Q24="O",P24&gt;14)),P24-14,"")))</f>
      </c>
      <c r="Z24" s="108">
        <f>IF(AA24&lt;&gt;"",VLOOKUP($B$20,'Grille IND'!$A$5:$F$653,5,FALSE),"")</f>
      </c>
      <c r="AA24" s="108">
        <f>IF(T24="","",IF(OR(AND(OR(AO24="D",AO24="F"),N24="O",Q24=""),AND(OR(AO24="D",AO24="F"),N24="O",Q24="O")),P24,""))</f>
      </c>
      <c r="AB24" s="109">
        <f>IF(AC24&lt;&gt;"",VLOOKUP($B$20,'Grille IND'!$A$5:$F$653,6,FALSE),"")</f>
      </c>
      <c r="AC24" s="109">
        <f>IF(T24="","",IF(O24="","",O24))</f>
      </c>
      <c r="AO24" s="105">
        <f t="shared" si="9"/>
      </c>
    </row>
    <row r="25" spans="1:41" ht="15">
      <c r="A25" s="348"/>
      <c r="B25" s="139"/>
      <c r="C25" s="338"/>
      <c r="D25" s="171">
        <f>IF(ROWS($D$22:D25)&lt;=MAX($U$3:$U$17),INDEX($D$3:$D$17,MATCH(ROWS($D$22:D25),$U$3:$U$17,0)),"")</f>
      </c>
      <c r="E25" s="203">
        <f>IF(D25&lt;&gt;"",_xlfn.IFERROR(VLOOKUP($D25,$D$3:$S$17,COLUMN(B$1),0),""),"")</f>
      </c>
      <c r="F25" s="203">
        <f>IF(D25&lt;&gt;"",_xlfn.IFERROR(VLOOKUP($D25,$D$3:$S$17,COLUMN(C$1),0),""),"")</f>
      </c>
      <c r="G25" s="203">
        <f>IF(D25&lt;&gt;"",_xlfn.IFERROR(VLOOKUP($D25,$D$3:$S$17,COLUMN(D$1),0),""),"")</f>
      </c>
      <c r="H25" s="203">
        <f t="shared" si="17"/>
      </c>
      <c r="I25" s="203">
        <f t="shared" si="17"/>
      </c>
      <c r="J25" s="203">
        <f t="shared" si="17"/>
      </c>
      <c r="K25" s="176">
        <f t="shared" si="17"/>
      </c>
      <c r="L25" s="203">
        <f t="shared" si="17"/>
      </c>
      <c r="M25" s="176">
        <f t="shared" si="17"/>
      </c>
      <c r="N25" s="297">
        <f>IF(OR(O25&lt;&gt;"",P25&lt;&gt;""),"O","")</f>
      </c>
      <c r="O25" s="294">
        <f t="shared" si="16"/>
      </c>
      <c r="P25" s="294">
        <f t="shared" si="16"/>
      </c>
      <c r="Q25" s="285"/>
      <c r="R25" s="285"/>
      <c r="S25" s="287"/>
      <c r="T25" s="23">
        <f>IF(N25="O",MAX(T$20:T24)+1,"")</f>
      </c>
      <c r="U25" s="23">
        <f>IF(Q25="O",MAX(U$20:U24)+1,"")</f>
      </c>
      <c r="V25" s="106">
        <f>IF(W25&lt;&gt;"",VLOOKUP($B$20,'Grille IND'!$A$5:$F$653,3,FALSE),"")</f>
      </c>
      <c r="W25" s="106">
        <f>IF(T25="","",IF(OR(AO25="D",AO25="F"),"",IF(OR(AND(N25="O",Q25="",P25&lt;=14),AND(N25="O",Q25="O",P25&lt;=14)),P25,14)))</f>
      </c>
      <c r="X25" s="107">
        <f>IF(Y25&lt;&gt;"",VLOOKUP($B$20,'Grille IND'!$A$5:$F$653,4,FALSE),"")</f>
      </c>
      <c r="Y25" s="107">
        <f>IF(T25="","",IF(OR(AO25="D",AO25="F"),"",IF(OR(AND(N25="O",Q25="",P25&gt;14),AND(N25="O",Q25="O",P25&gt;14)),P25-14,"")))</f>
      </c>
      <c r="Z25" s="108">
        <f>IF(AA25&lt;&gt;"",VLOOKUP($B$20,'Grille IND'!$A$5:$F$653,5,FALSE),"")</f>
      </c>
      <c r="AA25" s="108">
        <f>IF(T25="","",IF(OR(AND(OR(AO25="D",AO25="F"),N25="O",Q25=""),AND(OR(AO25="D",AO25="F"),N25="O",Q25="O")),P25,""))</f>
      </c>
      <c r="AB25" s="109">
        <f>IF(AC25&lt;&gt;"",VLOOKUP($B$20,'Grille IND'!$A$5:$F$653,6,FALSE),"")</f>
      </c>
      <c r="AC25" s="109">
        <f>IF(T25="","",IF(O25="","",O25))</f>
      </c>
      <c r="AO25" s="105">
        <f t="shared" si="9"/>
      </c>
    </row>
    <row r="26" spans="1:41" ht="15">
      <c r="A26" s="348"/>
      <c r="B26" s="139"/>
      <c r="C26" s="338"/>
      <c r="D26" s="171">
        <f>IF(ROWS($D$22:D26)&lt;=MAX($U$3:$U$17),INDEX($D$3:$D$17,MATCH(ROWS($D$22:D26),$U$3:$U$17,0)),"")</f>
      </c>
      <c r="E26" s="203">
        <f>IF(D26&lt;&gt;"",_xlfn.IFERROR(VLOOKUP($D26,$D$3:$S$17,COLUMN(B$1),0),""),"")</f>
      </c>
      <c r="F26" s="203">
        <f>IF(D26&lt;&gt;"",_xlfn.IFERROR(VLOOKUP($D26,$D$3:$S$17,COLUMN(C$1),0),""),"")</f>
      </c>
      <c r="G26" s="203">
        <f>IF(D26&lt;&gt;"",_xlfn.IFERROR(VLOOKUP($D26,$D$3:$S$17,COLUMN(D$1),0),""),"")</f>
      </c>
      <c r="H26" s="203">
        <f t="shared" si="17"/>
      </c>
      <c r="I26" s="203">
        <f t="shared" si="17"/>
      </c>
      <c r="J26" s="203">
        <f t="shared" si="17"/>
      </c>
      <c r="K26" s="176">
        <f t="shared" si="17"/>
      </c>
      <c r="L26" s="203">
        <f t="shared" si="17"/>
      </c>
      <c r="M26" s="176">
        <f t="shared" si="17"/>
      </c>
      <c r="N26" s="297">
        <f>IF(OR(O26&lt;&gt;"",P26&lt;&gt;""),"O","")</f>
      </c>
      <c r="O26" s="294">
        <f>IF($D26&lt;&gt;"",_xlfn.IFERROR(VLOOKUP($D26,$D$3:$S$17,COLUMN(O$1),0),""),"")</f>
      </c>
      <c r="P26" s="294">
        <f t="shared" si="16"/>
      </c>
      <c r="Q26" s="285"/>
      <c r="R26" s="285"/>
      <c r="S26" s="287"/>
      <c r="T26" s="23">
        <f>IF(N26="O",MAX(T$20:T25)+1,"")</f>
      </c>
      <c r="U26" s="23">
        <f>IF(Q26="O",MAX(U$20:U25)+1,"")</f>
      </c>
      <c r="V26" s="106">
        <f>IF(W26&lt;&gt;"",VLOOKUP($B$20,'Grille IND'!$A$5:$F$653,3,FALSE),"")</f>
      </c>
      <c r="W26" s="106">
        <f>IF(T26="","",IF(OR(AO26="D",AO26="F"),"",IF(OR(AND(N26="O",Q26="",P26&lt;=14),AND(N26="O",Q26="O",P26&lt;=14)),P26,14)))</f>
      </c>
      <c r="X26" s="107">
        <f>IF(Y26&lt;&gt;"",VLOOKUP($B$20,'Grille IND'!$A$5:$F$653,4,FALSE),"")</f>
      </c>
      <c r="Y26" s="107">
        <f>IF(T26="","",IF(OR(AO26="D",AO26="F"),"",IF(OR(AND(N26="O",Q26="",P26&gt;14),AND(N26="O",Q26="O",P26&gt;14)),P26-14,"")))</f>
      </c>
      <c r="Z26" s="108">
        <f>IF(AA26&lt;&gt;"",VLOOKUP($B$20,'Grille IND'!$A$5:$F$653,5,FALSE),"")</f>
      </c>
      <c r="AA26" s="108">
        <f>IF(T26="","",IF(OR(AND(OR(AO26="D",AO26="F"),N26="O",Q26=""),AND(OR(AO26="D",AO26="F"),N26="O",Q26="O")),P26,""))</f>
      </c>
      <c r="AB26" s="109">
        <f>IF(AC26&lt;&gt;"",VLOOKUP($B$20,'Grille IND'!$A$5:$F$653,6,FALSE),"")</f>
      </c>
      <c r="AC26" s="109">
        <f>IF(T26="","",IF(O26="","",O26))</f>
      </c>
      <c r="AO26" s="105">
        <f t="shared" si="9"/>
      </c>
    </row>
    <row r="27" spans="1:41" ht="15">
      <c r="A27" s="348"/>
      <c r="B27" s="139"/>
      <c r="C27" s="338"/>
      <c r="D27" s="192"/>
      <c r="E27" s="224"/>
      <c r="F27" s="233"/>
      <c r="G27" s="233"/>
      <c r="H27" s="305"/>
      <c r="I27" s="305"/>
      <c r="J27" s="306"/>
      <c r="K27" s="307"/>
      <c r="L27" s="306"/>
      <c r="M27" s="307"/>
      <c r="N27" s="308">
        <f>IF(AND(K27="",M27=""),"",IF(OR(SUM(K$22:K27,M$22:M27)&lt;=25,AND(SUM(K$22:K27,M$22:M27)&lt;=25,SUM(K$22:K27,M$22:M27,M27,K27)&gt;25)),"O","N"))</f>
      </c>
      <c r="O27" s="308"/>
      <c r="P27" s="309"/>
      <c r="Q27" s="178">
        <f>IF(AND(N27="O",P27=SUM(K27,M27)),"",IF(AND(N27="O",P27&lt;SUM(K27,M27)),"O",IF(N27="N","O","")))</f>
      </c>
      <c r="R27" s="178"/>
      <c r="S27" s="310">
        <f>IF(Q27="","",IF(AND(N27="O",Q27="O"),SUM(K27,M27,-P27),IF(N27="N",SUM(K27,M27),"")))</f>
      </c>
      <c r="T27" s="23">
        <f>IF(N27="O",MAX(T$20:T26)+1,"")</f>
      </c>
      <c r="U27" s="23">
        <f>IF(Q27="O",MAX(U$20:U26)+1,"")</f>
      </c>
      <c r="V27" s="238"/>
      <c r="W27" s="238"/>
      <c r="X27" s="252"/>
      <c r="Y27" s="252"/>
      <c r="Z27" s="253"/>
      <c r="AA27" s="253"/>
      <c r="AB27" s="254"/>
      <c r="AC27" s="254"/>
      <c r="AO27" s="105">
        <f t="shared" si="9"/>
      </c>
    </row>
    <row r="28" spans="1:41" ht="15">
      <c r="A28" s="348"/>
      <c r="B28" s="139"/>
      <c r="C28" s="334" t="s">
        <v>27</v>
      </c>
      <c r="D28" s="133">
        <v>43052</v>
      </c>
      <c r="E28" s="206">
        <v>0.7152777777777778</v>
      </c>
      <c r="F28" s="216">
        <v>0.8881944444444444</v>
      </c>
      <c r="G28" s="216">
        <f aca="true" t="shared" si="18" ref="G28:G33">IF(AND(E28="",F28=""),"",MOD(F28-E28,1))</f>
        <v>0.1729166666666666</v>
      </c>
      <c r="H28" s="148">
        <f aca="true" t="shared" si="19" ref="H28:H40">IF(E28="","",IF($E28&lt;$AJ$3,$AJ$3-$E28,""))</f>
      </c>
      <c r="I28" s="216">
        <f aca="true" t="shared" si="20" ref="I28:I40">IF(F28="","",IF($F28&gt;$AK$3,$F28-$AK$3,""))</f>
      </c>
      <c r="J28" s="206">
        <f aca="true" t="shared" si="21" ref="J28:J33">IF(AND(H28="",I28=""),"",SUM(H28,I28))</f>
      </c>
      <c r="K28" s="126">
        <f aca="true" t="shared" si="22" ref="K28:K33">IF(J28="","",J28*24)</f>
      </c>
      <c r="L28" s="206">
        <f aca="true" t="shared" si="23" ref="L28:L33">IF(AND(E28="",F28=""),"",IF(J28&lt;&gt;"",G28-J28,G28))</f>
        <v>0.1729166666666666</v>
      </c>
      <c r="M28" s="126">
        <f aca="true" t="shared" si="24" ref="M28:M33">IF(L28="","",L28*24)</f>
        <v>4.149999999999999</v>
      </c>
      <c r="N28" s="270" t="str">
        <f>IF(AND(K28="",M28=""),"",IF(OR(SUM($O$22:$P$26,K$28:K28,M$28:M28)&lt;=25,AND(SUM($O$22:$P$26,K27:K$27,M27:M$27)&lt;=25,SUM($O$22:$P$26,K$27:K28,M$27:M28)&gt;25)),"O","N"))</f>
        <v>O</v>
      </c>
      <c r="O28" s="132">
        <f>IF(OR(N28="N",N28=""),"",IF(K28="","",IF((25-SUM(O$22:O27,P$22:P27))&gt;K28,K28,25-SUM(O$22:O27,P$22:P27))))</f>
      </c>
      <c r="P28" s="149">
        <f>IF(OR(N28="N",N28=""),"",IF(M28="","",IF(25-SUM($O$22:O28,$P$22:P27)&gt;M28,M28,25-SUM($O$22:O28,$P$22:P27))))</f>
        <v>4.149999999999999</v>
      </c>
      <c r="Q28" s="127">
        <f aca="true" t="shared" si="25" ref="Q28:Q39">IF(AND(N28="O",SUM(O28,P28)=SUM(K28,M28)),"",IF(AND(N28="O",SUM(O28,P28)&lt;SUM(K28,M28)),"O",IF(N28="N","O","")))</f>
      </c>
      <c r="R28" s="127">
        <f aca="true" t="shared" si="26" ref="R28:R39">IF(Q28="","",IF(AND(N28="O",Q28="O"),IF(K28="","",K28-O28),IF(N28="N",IF(K28="","",K28),"")))</f>
      </c>
      <c r="S28" s="150">
        <f aca="true" t="shared" si="27" ref="S28:S39">IF(Q28="","",IF(AND(N28="O",Q28="O"),IF(M28="","",M28-P28),IF(N28="N",IF(M28="","",M28),"")))</f>
      </c>
      <c r="T28" s="23">
        <f>IF(N28="O",MAX(T$20:T27)+1,"")</f>
        <v>4</v>
      </c>
      <c r="U28" s="23">
        <f>IF(Q28="O",MAX(U$20:U27)+1,"")</f>
      </c>
      <c r="V28" s="106">
        <f>IF(W28&lt;&gt;"",VLOOKUP($B$20,'Grille IND'!$A$5:$F$653,3,FALSE),"")</f>
        <v>15.91</v>
      </c>
      <c r="W28" s="106">
        <f aca="true" t="shared" si="28" ref="W28:W40">IF(T28="","",IF(OR(AO28="D",AO28="F"),"",IF(OR(AND(N28="O",Q28="",P28&lt;=14),AND(N28="O",Q28="O",P28&lt;=14)),P28,14)))</f>
        <v>4.149999999999999</v>
      </c>
      <c r="X28" s="107">
        <f>IF(Y28&lt;&gt;"",VLOOKUP($B$20,'Grille IND'!$A$5:$F$653,4,FALSE),"")</f>
      </c>
      <c r="Y28" s="107">
        <f aca="true" t="shared" si="29" ref="Y28:Y40">IF(T28="","",IF(OR(AO28="D",AO28="F"),"",IF(OR(AND(N28="O",Q28="",P28&gt;14),AND(N28="O",Q28="O",P28&gt;14)),P28-14,"")))</f>
      </c>
      <c r="Z28" s="108">
        <f>IF(AA28&lt;&gt;"",VLOOKUP($B$20,'Grille IND'!$A$5:$F$653,5,FALSE),"")</f>
      </c>
      <c r="AA28" s="108">
        <f aca="true" t="shared" si="30" ref="AA28:AA40">IF(T28="","",IF(OR(AND(OR(AO28="D",AO28="F"),N28="O",Q28=""),AND(OR(AO28="D",AO28="F"),N28="O",Q28="O")),P28,""))</f>
      </c>
      <c r="AB28" s="109">
        <f>IF(AC28&lt;&gt;"",VLOOKUP($B$20,'Grille IND'!$A$5:$F$653,6,FALSE),"")</f>
      </c>
      <c r="AC28" s="109">
        <f aca="true" t="shared" si="31" ref="AC28:AC40">IF(T28="","",IF(O28="","",O28))</f>
      </c>
      <c r="AO28" s="105">
        <f t="shared" si="9"/>
      </c>
    </row>
    <row r="29" spans="1:41" ht="15">
      <c r="A29" s="348"/>
      <c r="B29" s="139"/>
      <c r="C29" s="334"/>
      <c r="D29" s="133">
        <v>43057</v>
      </c>
      <c r="E29" s="206">
        <v>0.7083333333333334</v>
      </c>
      <c r="F29" s="216">
        <v>0.96875</v>
      </c>
      <c r="G29" s="216">
        <f t="shared" si="18"/>
        <v>0.26041666666666663</v>
      </c>
      <c r="H29" s="148">
        <f t="shared" si="19"/>
      </c>
      <c r="I29" s="216">
        <f t="shared" si="20"/>
        <v>0.05208333333333337</v>
      </c>
      <c r="J29" s="206">
        <f t="shared" si="21"/>
        <v>0.05208333333333337</v>
      </c>
      <c r="K29" s="126">
        <f t="shared" si="22"/>
        <v>1.2500000000000009</v>
      </c>
      <c r="L29" s="206">
        <f t="shared" si="23"/>
        <v>0.20833333333333326</v>
      </c>
      <c r="M29" s="126">
        <f t="shared" si="24"/>
        <v>4.999999999999998</v>
      </c>
      <c r="N29" s="270" t="str">
        <f>IF(AND(K29="",M29=""),"",IF(OR(SUM($O$22:$P$26,K$28:K29,M$28:M29)&lt;=25,AND(SUM($O$22:$P$26,K$27:K28,M$27:M28)&lt;=25,SUM($O$22:$P$26,K$27:K29,M$27:M29)&gt;25)),"O","N"))</f>
        <v>O</v>
      </c>
      <c r="O29" s="132">
        <f>IF(OR(N29="N",N29=""),"",IF(K29="","",IF((25-SUM(O$22:O28,P$22:P28))&gt;K29,K29,25-SUM(O$22:O28,P$22:P28))))</f>
        <v>1.2500000000000009</v>
      </c>
      <c r="P29" s="149">
        <f>IF(OR(N29="N",N29=""),"",IF(M29="","",IF(25-SUM($O$22:O29,$P$22:P28)&gt;M29,M29,25-SUM($O$22:O29,$P$22:P28))))</f>
        <v>4.999999999999998</v>
      </c>
      <c r="Q29" s="127">
        <f t="shared" si="25"/>
      </c>
      <c r="R29" s="127">
        <f t="shared" si="26"/>
      </c>
      <c r="S29" s="150">
        <f t="shared" si="27"/>
      </c>
      <c r="T29" s="23">
        <f>IF(N29="O",MAX(T$20:T28)+1,"")</f>
        <v>5</v>
      </c>
      <c r="U29" s="23">
        <f>IF(Q29="O",MAX(U$20:U28)+1,"")</f>
      </c>
      <c r="V29" s="106">
        <f>IF(W29&lt;&gt;"",VLOOKUP($B$20,'Grille IND'!$A$5:$F$653,3,FALSE),"")</f>
        <v>15.91</v>
      </c>
      <c r="W29" s="106">
        <f t="shared" si="28"/>
        <v>4.999999999999998</v>
      </c>
      <c r="X29" s="107">
        <f>IF(Y29&lt;&gt;"",VLOOKUP($B$20,'Grille IND'!$A$5:$F$653,4,FALSE),"")</f>
      </c>
      <c r="Y29" s="107">
        <f t="shared" si="29"/>
      </c>
      <c r="Z29" s="108">
        <f>IF(AA29&lt;&gt;"",VLOOKUP($B$20,'Grille IND'!$A$5:$F$653,5,FALSE),"")</f>
      </c>
      <c r="AA29" s="108">
        <f t="shared" si="30"/>
      </c>
      <c r="AB29" s="109">
        <f>IF(AC29&lt;&gt;"",VLOOKUP($B$20,'Grille IND'!$A$5:$F$653,6,FALSE),"")</f>
        <v>31.82</v>
      </c>
      <c r="AC29" s="109">
        <f t="shared" si="31"/>
        <v>1.2500000000000009</v>
      </c>
      <c r="AO29" s="105">
        <f t="shared" si="9"/>
      </c>
    </row>
    <row r="30" spans="1:41" ht="15">
      <c r="A30" s="348"/>
      <c r="B30" s="139"/>
      <c r="C30" s="334"/>
      <c r="D30" s="133">
        <v>43058</v>
      </c>
      <c r="E30" s="206">
        <v>0.375</v>
      </c>
      <c r="F30" s="216">
        <v>0.5520833333333334</v>
      </c>
      <c r="G30" s="216">
        <f t="shared" si="18"/>
        <v>0.17708333333333337</v>
      </c>
      <c r="H30" s="148">
        <f t="shared" si="19"/>
      </c>
      <c r="I30" s="216">
        <f t="shared" si="20"/>
      </c>
      <c r="J30" s="206">
        <f t="shared" si="21"/>
      </c>
      <c r="K30" s="126">
        <f t="shared" si="22"/>
      </c>
      <c r="L30" s="206">
        <f t="shared" si="23"/>
        <v>0.17708333333333337</v>
      </c>
      <c r="M30" s="126">
        <f t="shared" si="24"/>
        <v>4.250000000000001</v>
      </c>
      <c r="N30" s="270" t="str">
        <f>IF(AND(K30="",M30=""),"",IF(OR(SUM($O$22:$P$26,K$28:K30,M$28:M30)&lt;=25,AND(SUM($O$22:$P$26,K$27:K29,M$27:M29)&lt;=25,SUM($O$22:$P$26,K$27:K30,M$27:M30)&gt;25)),"O","N"))</f>
        <v>O</v>
      </c>
      <c r="O30" s="132">
        <f>IF(OR(N30="N",N30=""),"",IF(K30="","",IF((25-SUM(O$22:O29,P$22:P29))&gt;K30,K30,25-SUM(O$22:O29,P$22:P29))))</f>
      </c>
      <c r="P30" s="149">
        <f>IF(OR(N30="N",N30=""),"",IF(M30="","",IF(25-SUM($O$22:O30,$P$22:P29)&gt;M30,M30,25-SUM($O$22:O30,$P$22:P29))))</f>
        <v>4.250000000000001</v>
      </c>
      <c r="Q30" s="127">
        <f t="shared" si="25"/>
      </c>
      <c r="R30" s="127">
        <f t="shared" si="26"/>
      </c>
      <c r="S30" s="150">
        <f t="shared" si="27"/>
      </c>
      <c r="T30" s="23">
        <f>IF(N30="O",MAX(T$20:T29)+1,"")</f>
        <v>6</v>
      </c>
      <c r="U30" s="23">
        <f>IF(Q30="O",MAX(U$20:U29)+1,"")</f>
      </c>
      <c r="V30" s="106">
        <f>IF(W30&lt;&gt;"",VLOOKUP($B$20,'Grille IND'!$A$5:$F$653,3,FALSE),"")</f>
      </c>
      <c r="W30" s="106">
        <f t="shared" si="28"/>
      </c>
      <c r="X30" s="107">
        <f>IF(Y30&lt;&gt;"",VLOOKUP($B$20,'Grille IND'!$A$5:$F$653,4,FALSE),"")</f>
      </c>
      <c r="Y30" s="107">
        <f t="shared" si="29"/>
      </c>
      <c r="Z30" s="108">
        <f>IF(AA30&lt;&gt;"",VLOOKUP($B$20,'Grille IND'!$A$5:$F$653,5,FALSE),"")</f>
        <v>26.52</v>
      </c>
      <c r="AA30" s="108">
        <f t="shared" si="30"/>
        <v>4.250000000000001</v>
      </c>
      <c r="AB30" s="109">
        <f>IF(AC30&lt;&gt;"",VLOOKUP($B$20,'Grille IND'!$A$5:$F$653,6,FALSE),"")</f>
      </c>
      <c r="AC30" s="109">
        <f t="shared" si="31"/>
      </c>
      <c r="AO30" s="105" t="str">
        <f t="shared" si="9"/>
        <v>D</v>
      </c>
    </row>
    <row r="31" spans="1:41" ht="15">
      <c r="A31" s="348"/>
      <c r="B31" s="139"/>
      <c r="C31" s="334"/>
      <c r="D31" s="133">
        <v>43059</v>
      </c>
      <c r="E31" s="206">
        <v>0.3333333333333333</v>
      </c>
      <c r="F31" s="216">
        <v>0.5069444444444444</v>
      </c>
      <c r="G31" s="216">
        <f t="shared" si="18"/>
        <v>0.1736111111111111</v>
      </c>
      <c r="H31" s="148">
        <f t="shared" si="19"/>
      </c>
      <c r="I31" s="216">
        <f t="shared" si="20"/>
      </c>
      <c r="J31" s="221">
        <f t="shared" si="21"/>
      </c>
      <c r="K31" s="151">
        <f t="shared" si="22"/>
      </c>
      <c r="L31" s="207">
        <f t="shared" si="23"/>
        <v>0.1736111111111111</v>
      </c>
      <c r="M31" s="152">
        <f t="shared" si="24"/>
        <v>4.166666666666666</v>
      </c>
      <c r="N31" s="270" t="str">
        <f>IF(AND(K31="",M31=""),"",IF(OR(SUM($O$22:$P$26,K$28:K31,M$28:M31)&lt;=25,AND(SUM($O$22:$P$26,K$27:K30,M$27:M30)&lt;=25,SUM($O$22:$P$26,K$27:K31,M$27:M31)&gt;25)),"O","N"))</f>
        <v>O</v>
      </c>
      <c r="O31" s="132">
        <f>IF(OR(N31="N",N31=""),"",IF(K31="","",IF((25-SUM(O$22:O30,P$22:P30))&gt;K31,K31,25-SUM(O$22:O30,P$22:P30))))</f>
      </c>
      <c r="P31" s="153">
        <f>IF(OR(N31="N",N31=""),"",IF(M31="","",IF(25-SUM($O$22:O31,$P$22:P30)&gt;M31,M31,25-SUM($O$22:O31,$P$22:P30))))</f>
        <v>1.850000000000005</v>
      </c>
      <c r="Q31" s="22" t="str">
        <f t="shared" si="25"/>
        <v>O</v>
      </c>
      <c r="R31" s="22">
        <f t="shared" si="26"/>
      </c>
      <c r="S31" s="154">
        <f t="shared" si="27"/>
        <v>2.316666666666661</v>
      </c>
      <c r="T31" s="23">
        <f>IF(N31="O",MAX(T$20:T30)+1,"")</f>
        <v>7</v>
      </c>
      <c r="U31" s="23">
        <f>IF(Q31="O",MAX(U$20:U30)+1,"")</f>
        <v>1</v>
      </c>
      <c r="V31" s="106">
        <f>IF(W31&lt;&gt;"",VLOOKUP($B$20,'Grille IND'!$A$5:$F$653,3,FALSE),"")</f>
        <v>15.91</v>
      </c>
      <c r="W31" s="106">
        <f t="shared" si="28"/>
        <v>1.850000000000005</v>
      </c>
      <c r="X31" s="107">
        <f>IF(Y31&lt;&gt;"",VLOOKUP($B$20,'Grille IND'!$A$5:$F$653,4,FALSE),"")</f>
      </c>
      <c r="Y31" s="107">
        <f t="shared" si="29"/>
      </c>
      <c r="Z31" s="108">
        <f>IF(AA31&lt;&gt;"",VLOOKUP($B$20,'Grille IND'!$A$5:$F$653,5,FALSE),"")</f>
      </c>
      <c r="AA31" s="108">
        <f t="shared" si="30"/>
      </c>
      <c r="AB31" s="109">
        <f>IF(AC31&lt;&gt;"",VLOOKUP($B$20,'Grille IND'!$A$5:$F$653,6,FALSE),"")</f>
      </c>
      <c r="AC31" s="109">
        <f t="shared" si="31"/>
      </c>
      <c r="AO31" s="105">
        <f t="shared" si="9"/>
      </c>
    </row>
    <row r="32" spans="1:41" ht="15">
      <c r="A32" s="348"/>
      <c r="B32" s="139"/>
      <c r="C32" s="334"/>
      <c r="D32" s="133">
        <v>43060</v>
      </c>
      <c r="E32" s="217">
        <v>0.7916666666666666</v>
      </c>
      <c r="F32" s="218">
        <v>0.8819444444444445</v>
      </c>
      <c r="G32" s="218">
        <f t="shared" si="18"/>
        <v>0.0902777777777779</v>
      </c>
      <c r="H32" s="155">
        <f t="shared" si="19"/>
      </c>
      <c r="I32" s="218">
        <f t="shared" si="20"/>
      </c>
      <c r="J32" s="221">
        <f t="shared" si="21"/>
      </c>
      <c r="K32" s="151">
        <f t="shared" si="22"/>
      </c>
      <c r="L32" s="207">
        <f t="shared" si="23"/>
        <v>0.0902777777777779</v>
      </c>
      <c r="M32" s="152">
        <f t="shared" si="24"/>
        <v>2.1666666666666696</v>
      </c>
      <c r="N32" s="270" t="str">
        <f>IF(AND(K32="",M32=""),"",IF(OR(SUM($O$22:$P$26,K$28:K32,M$28:M32)&lt;=25,AND(SUM($O$22:$P$26,K$27:K31,M$27:M31)&lt;=25,SUM($O$22:$P$26,K$27:K32,M$27:M32)&gt;25)),"O","N"))</f>
        <v>N</v>
      </c>
      <c r="O32" s="132">
        <f>IF(OR(N32="N",N32=""),"",IF(K32="","",IF((25-SUM(O$22:O31,P$22:P31))&gt;K32,K32,25-SUM(O$22:O31,P$22:P31))))</f>
      </c>
      <c r="P32" s="153">
        <f>IF(OR(N32="N",N32=""),"",IF(M32="","",IF(25-SUM($O$22:O32,$P$22:P31)&gt;M32,M32,25-SUM($O$22:O32,$P$22:P31))))</f>
      </c>
      <c r="Q32" s="22" t="str">
        <f t="shared" si="25"/>
        <v>O</v>
      </c>
      <c r="R32" s="22">
        <f t="shared" si="26"/>
      </c>
      <c r="S32" s="154">
        <f t="shared" si="27"/>
        <v>2.1666666666666696</v>
      </c>
      <c r="T32" s="23">
        <f>IF(N32="O",MAX(T$20:T31)+1,"")</f>
      </c>
      <c r="U32" s="23">
        <f>IF(Q32="O",MAX(U$20:U31)+1,"")</f>
        <v>2</v>
      </c>
      <c r="V32" s="106">
        <f>IF(W32&lt;&gt;"",VLOOKUP($B$20,'Grille IND'!$A$5:$F$653,3,FALSE),"")</f>
      </c>
      <c r="W32" s="106">
        <f t="shared" si="28"/>
      </c>
      <c r="X32" s="107">
        <f>IF(Y32&lt;&gt;"",VLOOKUP($B$20,'Grille IND'!$A$5:$F$653,4,FALSE),"")</f>
      </c>
      <c r="Y32" s="107">
        <f t="shared" si="29"/>
      </c>
      <c r="Z32" s="108">
        <f>IF(AA32&lt;&gt;"",VLOOKUP($B$20,'Grille IND'!$A$5:$F$653,5,FALSE),"")</f>
      </c>
      <c r="AA32" s="108">
        <f t="shared" si="30"/>
      </c>
      <c r="AB32" s="109">
        <f>IF(AC32&lt;&gt;"",VLOOKUP($B$20,'Grille IND'!$A$5:$F$653,6,FALSE),"")</f>
      </c>
      <c r="AC32" s="109">
        <f t="shared" si="31"/>
      </c>
      <c r="AO32" s="105">
        <f t="shared" si="9"/>
      </c>
    </row>
    <row r="33" spans="1:41" ht="15">
      <c r="A33" s="348"/>
      <c r="B33" s="139"/>
      <c r="C33" s="334"/>
      <c r="D33" s="156"/>
      <c r="E33" s="219"/>
      <c r="F33" s="220"/>
      <c r="G33" s="220">
        <f t="shared" si="18"/>
      </c>
      <c r="H33" s="220">
        <f t="shared" si="19"/>
      </c>
      <c r="I33" s="220">
        <f t="shared" si="20"/>
      </c>
      <c r="J33" s="206">
        <f t="shared" si="21"/>
      </c>
      <c r="K33" s="126">
        <f t="shared" si="22"/>
      </c>
      <c r="L33" s="206">
        <f t="shared" si="23"/>
      </c>
      <c r="M33" s="126">
        <f t="shared" si="24"/>
      </c>
      <c r="N33" s="270">
        <f>IF(AND(K33="",M33=""),"",IF(OR(SUM($O$22:$P$26,K$28:K33,M$28:M33)&lt;=25,AND(SUM($O$22:$P$26,K$28:K32,M$28:M32)&lt;=25,SUM($O$22:$P$26,K$28:K33,M$28:M33)&gt;25)),"O","N"))</f>
      </c>
      <c r="O33" s="132">
        <f>IF(OR(N33="N",N33=""),"",IF(K33="","",IF((25-SUM(O$22:O32,P$22:P32))&gt;K33,K33,25-SUM(O$22:O32,P$22:P32))))</f>
      </c>
      <c r="P33" s="153">
        <f>IF(OR(N33="N",N33=""),"",IF(M33="","",IF(25-SUM($O$22:O33,$P$22:P32)&gt;M33,M33,25-SUM($O$22:O33,$P$22:P32))))</f>
      </c>
      <c r="Q33" s="127">
        <f t="shared" si="25"/>
      </c>
      <c r="R33" s="127">
        <f t="shared" si="26"/>
      </c>
      <c r="S33" s="150">
        <f t="shared" si="27"/>
      </c>
      <c r="T33" s="23">
        <f>IF(N33="O",MAX(T$20:T32)+1,"")</f>
      </c>
      <c r="U33" s="23">
        <f>IF(Q33="O",MAX(U$20:U32)+1,"")</f>
      </c>
      <c r="V33" s="106">
        <f>IF(W33&lt;&gt;"",VLOOKUP($B$20,'Grille IND'!$A$5:$F$653,3,FALSE),"")</f>
      </c>
      <c r="W33" s="106">
        <f t="shared" si="28"/>
      </c>
      <c r="X33" s="107">
        <f>IF(Y33&lt;&gt;"",VLOOKUP($B$20,'Grille IND'!$A$5:$F$653,4,FALSE),"")</f>
      </c>
      <c r="Y33" s="107">
        <f t="shared" si="29"/>
      </c>
      <c r="Z33" s="108">
        <f>IF(AA33&lt;&gt;"",VLOOKUP($B$20,'Grille IND'!$A$5:$F$653,5,FALSE),"")</f>
      </c>
      <c r="AA33" s="108">
        <f t="shared" si="30"/>
      </c>
      <c r="AB33" s="109">
        <f>IF(AC33&lt;&gt;"",VLOOKUP($B$20,'Grille IND'!$A$5:$F$653,6,FALSE),"")</f>
      </c>
      <c r="AC33" s="109">
        <f t="shared" si="31"/>
      </c>
      <c r="AO33" s="105">
        <f t="shared" si="9"/>
      </c>
    </row>
    <row r="34" spans="1:41" ht="15">
      <c r="A34" s="348"/>
      <c r="B34" s="139"/>
      <c r="C34" s="334"/>
      <c r="D34" s="156"/>
      <c r="E34" s="219"/>
      <c r="F34" s="220"/>
      <c r="G34" s="220">
        <f aca="true" t="shared" si="32" ref="G34:G40">IF(AND(E34="",F34=""),"",MOD(F34-E34,1))</f>
      </c>
      <c r="H34" s="220">
        <f t="shared" si="19"/>
      </c>
      <c r="I34" s="220">
        <f t="shared" si="20"/>
      </c>
      <c r="J34" s="206">
        <f aca="true" t="shared" si="33" ref="J34:J40">IF(AND(H34="",I34=""),"",SUM(H34,I34))</f>
      </c>
      <c r="K34" s="126">
        <f aca="true" t="shared" si="34" ref="K34:K40">IF(J34="","",J34*24)</f>
      </c>
      <c r="L34" s="206">
        <f aca="true" t="shared" si="35" ref="L34:L40">IF(AND(E34="",F34=""),"",IF(J34&lt;&gt;"",G34-J34,G34))</f>
      </c>
      <c r="M34" s="126">
        <f aca="true" t="shared" si="36" ref="M34:M40">IF(L34="","",L34*24)</f>
      </c>
      <c r="N34" s="270">
        <f>IF(AND(K34="",M34=""),"",IF(OR(SUM($O$22:$P$26,K$28:K34,M$28:M34)&lt;=25,AND(SUM($O$22:$P$26,K$28:K33,M$28:M33)&lt;=25,SUM($O$22:$P$26,K$28:K34,M$28:M34)&gt;25)),"O","N"))</f>
      </c>
      <c r="O34" s="132">
        <f>IF(OR(N34="N",N34=""),"",IF(K34="","",IF((25-SUM(O$22:O33,P$22:P33))&gt;K34,K34,25-SUM(O$22:O33,P$22:P33))))</f>
      </c>
      <c r="P34" s="153">
        <f>IF(OR(N34="N",N34=""),"",IF(M34="","",IF(25-SUM($O$22:O34,$P$22:P33)&gt;M34,M34,25-SUM($O$22:O34,$P$22:P33))))</f>
      </c>
      <c r="Q34" s="127">
        <f t="shared" si="25"/>
      </c>
      <c r="R34" s="127">
        <f t="shared" si="26"/>
      </c>
      <c r="S34" s="150">
        <f t="shared" si="27"/>
      </c>
      <c r="T34" s="23">
        <f>IF(N34="O",MAX(T$20:T33)+1,"")</f>
      </c>
      <c r="U34" s="23">
        <f>IF(Q34="O",MAX(U$20:U33)+1,"")</f>
      </c>
      <c r="V34" s="106">
        <f>IF(W34&lt;&gt;"",VLOOKUP($B$20,'Grille IND'!$A$5:$F$653,3,FALSE),"")</f>
      </c>
      <c r="W34" s="106">
        <f t="shared" si="28"/>
      </c>
      <c r="X34" s="107">
        <f>IF(Y34&lt;&gt;"",VLOOKUP($B$20,'Grille IND'!$A$5:$F$653,4,FALSE),"")</f>
      </c>
      <c r="Y34" s="107">
        <f t="shared" si="29"/>
      </c>
      <c r="Z34" s="108">
        <f>IF(AA34&lt;&gt;"",VLOOKUP($B$20,'Grille IND'!$A$5:$F$653,5,FALSE),"")</f>
      </c>
      <c r="AA34" s="108">
        <f t="shared" si="30"/>
      </c>
      <c r="AB34" s="109">
        <f>IF(AC34&lt;&gt;"",VLOOKUP($B$20,'Grille IND'!$A$5:$F$653,6,FALSE),"")</f>
      </c>
      <c r="AC34" s="109">
        <f t="shared" si="31"/>
      </c>
      <c r="AO34" s="105">
        <f t="shared" si="9"/>
      </c>
    </row>
    <row r="35" spans="1:41" ht="15">
      <c r="A35" s="348"/>
      <c r="B35" s="139"/>
      <c r="C35" s="334"/>
      <c r="D35" s="156"/>
      <c r="E35" s="219"/>
      <c r="F35" s="220"/>
      <c r="G35" s="220">
        <f t="shared" si="32"/>
      </c>
      <c r="H35" s="220">
        <f t="shared" si="19"/>
      </c>
      <c r="I35" s="220">
        <f t="shared" si="20"/>
      </c>
      <c r="J35" s="206">
        <f>IF(AND(H35="",I35=""),"",SUM(H35,I35))</f>
      </c>
      <c r="K35" s="126">
        <f t="shared" si="34"/>
      </c>
      <c r="L35" s="206">
        <f t="shared" si="35"/>
      </c>
      <c r="M35" s="126">
        <f t="shared" si="36"/>
      </c>
      <c r="N35" s="270">
        <f>IF(AND(K35="",M35=""),"",IF(OR(SUM($O$22:$P$26,K$28:K35,M$28:M35)&lt;=25,AND(SUM($O$22:$P$26,K$28:K34,M$28:M34)&lt;=25,SUM($O$22:$P$26,K$28:K35,M$28:M35)&gt;25)),"O","N"))</f>
      </c>
      <c r="O35" s="132">
        <f>IF(OR(N35="N",N35=""),"",IF(K35="","",IF((25-SUM(O$22:O34,P$22:P34))&gt;K35,K35,25-SUM(O$22:O34,P$22:P34))))</f>
      </c>
      <c r="P35" s="153">
        <f>IF(OR(N35="N",N35=""),"",IF(M35="","",IF(25-SUM($O$22:O35,$P$22:P34)&gt;M35,M35,25-SUM($O$22:O35,$P$22:P34))))</f>
      </c>
      <c r="Q35" s="127">
        <f t="shared" si="25"/>
      </c>
      <c r="R35" s="127">
        <f t="shared" si="26"/>
      </c>
      <c r="S35" s="150">
        <f t="shared" si="27"/>
      </c>
      <c r="T35" s="23">
        <f>IF(N35="O",MAX(T$20:T34)+1,"")</f>
      </c>
      <c r="U35" s="23">
        <f>IF(Q35="O",MAX(U$20:U34)+1,"")</f>
      </c>
      <c r="V35" s="106">
        <f>IF(W35&lt;&gt;"",VLOOKUP($B$20,'Grille IND'!$A$5:$F$653,3,FALSE),"")</f>
      </c>
      <c r="W35" s="106">
        <f t="shared" si="28"/>
      </c>
      <c r="X35" s="107">
        <f>IF(Y35&lt;&gt;"",VLOOKUP($B$20,'Grille IND'!$A$5:$F$653,4,FALSE),"")</f>
      </c>
      <c r="Y35" s="107">
        <f t="shared" si="29"/>
      </c>
      <c r="Z35" s="108">
        <f>IF(AA35&lt;&gt;"",VLOOKUP($B$20,'Grille IND'!$A$5:$F$653,5,FALSE),"")</f>
      </c>
      <c r="AA35" s="108">
        <f t="shared" si="30"/>
      </c>
      <c r="AB35" s="109">
        <f>IF(AC35&lt;&gt;"",VLOOKUP($B$20,'Grille IND'!$A$5:$F$653,6,FALSE),"")</f>
      </c>
      <c r="AC35" s="109">
        <f t="shared" si="31"/>
      </c>
      <c r="AO35" s="105">
        <f t="shared" si="9"/>
      </c>
    </row>
    <row r="36" spans="1:41" ht="15">
      <c r="A36" s="348"/>
      <c r="B36" s="139"/>
      <c r="C36" s="334"/>
      <c r="D36" s="156"/>
      <c r="E36" s="219"/>
      <c r="F36" s="220"/>
      <c r="G36" s="220">
        <f t="shared" si="32"/>
      </c>
      <c r="H36" s="220">
        <f t="shared" si="19"/>
      </c>
      <c r="I36" s="220">
        <f t="shared" si="20"/>
      </c>
      <c r="J36" s="206">
        <f t="shared" si="33"/>
      </c>
      <c r="K36" s="126">
        <f t="shared" si="34"/>
      </c>
      <c r="L36" s="206">
        <f t="shared" si="35"/>
      </c>
      <c r="M36" s="126">
        <f t="shared" si="36"/>
      </c>
      <c r="N36" s="270">
        <f>IF(AND(K36="",M36=""),"",IF(OR(SUM($O$22:$P$26,K$28:K36,M$28:M36)&lt;=25,AND(SUM($O$22:$P$26,K$28:K35,M$28:M35)&lt;=25,SUM($O$22:$P$26,K$28:K36,M$28:M36)&gt;25)),"O","N"))</f>
      </c>
      <c r="O36" s="132">
        <f>IF(OR(N36="N",N36=""),"",IF(K36="","",IF((25-SUM(O$22:O35,P$22:P35))&gt;K36,K36,25-SUM(O$22:O35,P$22:P35))))</f>
      </c>
      <c r="P36" s="153">
        <f>IF(OR(N36="N",N36=""),"",IF(M36="","",IF(25-SUM($O$22:O36,$P$22:P35)&gt;M36,M36,25-SUM($O$22:O36,$P$22:P35))))</f>
      </c>
      <c r="Q36" s="127">
        <f t="shared" si="25"/>
      </c>
      <c r="R36" s="127">
        <f t="shared" si="26"/>
      </c>
      <c r="S36" s="150">
        <f t="shared" si="27"/>
      </c>
      <c r="T36" s="23">
        <f>IF(N36="O",MAX(T$20:T35)+1,"")</f>
      </c>
      <c r="U36" s="23">
        <f>IF(Q36="O",MAX(U$20:U35)+1,"")</f>
      </c>
      <c r="V36" s="106">
        <f>IF(W36&lt;&gt;"",VLOOKUP($B$20,'Grille IND'!$A$5:$F$653,3,FALSE),"")</f>
      </c>
      <c r="W36" s="106">
        <f t="shared" si="28"/>
      </c>
      <c r="X36" s="107">
        <f>IF(Y36&lt;&gt;"",VLOOKUP($B$20,'Grille IND'!$A$5:$F$653,4,FALSE),"")</f>
      </c>
      <c r="Y36" s="107">
        <f t="shared" si="29"/>
      </c>
      <c r="Z36" s="108">
        <f>IF(AA36&lt;&gt;"",VLOOKUP($B$20,'Grille IND'!$A$5:$F$653,5,FALSE),"")</f>
      </c>
      <c r="AA36" s="108">
        <f t="shared" si="30"/>
      </c>
      <c r="AB36" s="109">
        <f>IF(AC36&lt;&gt;"",VLOOKUP($B$20,'Grille IND'!$A$5:$F$653,6,FALSE),"")</f>
      </c>
      <c r="AC36" s="109">
        <f t="shared" si="31"/>
      </c>
      <c r="AO36" s="105">
        <f t="shared" si="9"/>
      </c>
    </row>
    <row r="37" spans="1:41" ht="15">
      <c r="A37" s="348"/>
      <c r="B37" s="139"/>
      <c r="C37" s="334"/>
      <c r="D37" s="156"/>
      <c r="E37" s="219"/>
      <c r="F37" s="220"/>
      <c r="G37" s="220">
        <f t="shared" si="32"/>
      </c>
      <c r="H37" s="220">
        <f t="shared" si="19"/>
      </c>
      <c r="I37" s="220">
        <f t="shared" si="20"/>
      </c>
      <c r="J37" s="206">
        <f t="shared" si="33"/>
      </c>
      <c r="K37" s="126">
        <f t="shared" si="34"/>
      </c>
      <c r="L37" s="206">
        <f t="shared" si="35"/>
      </c>
      <c r="M37" s="126">
        <f t="shared" si="36"/>
      </c>
      <c r="N37" s="270">
        <f>IF(AND(K37="",M37=""),"",IF(OR(SUM($O$22:$P$26,K$28:K37,M$28:M37)&lt;=25,AND(SUM($O$22:$P$26,K$28:K36,M$28:M36)&lt;=25,SUM($O$22:$P$26,K$28:K37,M$28:M37)&gt;25)),"O","N"))</f>
      </c>
      <c r="O37" s="132">
        <f>IF(OR(N37="N",N37=""),"",IF(K37="","",IF((25-SUM(O$22:O36,P$22:P36))&gt;K37,K37,25-SUM(O$22:O36,P$22:P36))))</f>
      </c>
      <c r="P37" s="153">
        <f>IF(OR(N37="N",N37=""),"",IF(M37="","",IF(25-SUM($O$22:O37,$P$22:P36)&gt;M37,M37,25-SUM($O$22:O37,$P$22:P36))))</f>
      </c>
      <c r="Q37" s="127">
        <f t="shared" si="25"/>
      </c>
      <c r="R37" s="127">
        <f t="shared" si="26"/>
      </c>
      <c r="S37" s="150">
        <f t="shared" si="27"/>
      </c>
      <c r="T37" s="23">
        <f>IF(N37="O",MAX(T$20:T36)+1,"")</f>
      </c>
      <c r="U37" s="23">
        <f>IF(Q37="O",MAX(U$20:U36)+1,"")</f>
      </c>
      <c r="V37" s="106">
        <f>IF(W37&lt;&gt;"",VLOOKUP($B$20,'Grille IND'!$A$5:$F$653,3,FALSE),"")</f>
      </c>
      <c r="W37" s="106">
        <f t="shared" si="28"/>
      </c>
      <c r="X37" s="107">
        <f>IF(Y37&lt;&gt;"",VLOOKUP($B$20,'Grille IND'!$A$5:$F$653,4,FALSE),"")</f>
      </c>
      <c r="Y37" s="107">
        <f t="shared" si="29"/>
      </c>
      <c r="Z37" s="108">
        <f>IF(AA37&lt;&gt;"",VLOOKUP($B$20,'Grille IND'!$A$5:$F$653,5,FALSE),"")</f>
      </c>
      <c r="AA37" s="108">
        <f t="shared" si="30"/>
      </c>
      <c r="AB37" s="109">
        <f>IF(AC37&lt;&gt;"",VLOOKUP($B$20,'Grille IND'!$A$5:$F$653,6,FALSE),"")</f>
      </c>
      <c r="AC37" s="109">
        <f t="shared" si="31"/>
      </c>
      <c r="AO37" s="105">
        <f t="shared" si="9"/>
      </c>
    </row>
    <row r="38" spans="1:41" ht="15">
      <c r="A38" s="348"/>
      <c r="B38" s="139"/>
      <c r="C38" s="334"/>
      <c r="D38" s="156"/>
      <c r="E38" s="219"/>
      <c r="F38" s="220"/>
      <c r="G38" s="220">
        <f t="shared" si="32"/>
      </c>
      <c r="H38" s="220">
        <f t="shared" si="19"/>
      </c>
      <c r="I38" s="220">
        <f t="shared" si="20"/>
      </c>
      <c r="J38" s="206">
        <f t="shared" si="33"/>
      </c>
      <c r="K38" s="126">
        <f t="shared" si="34"/>
      </c>
      <c r="L38" s="206">
        <f t="shared" si="35"/>
      </c>
      <c r="M38" s="126">
        <f t="shared" si="36"/>
      </c>
      <c r="N38" s="270">
        <f>IF(AND(K38="",M38=""),"",IF(OR(SUM($O$22:$P$26,K$28:K38,M$28:M38)&lt;=25,AND(SUM($O$22:$P$26,K$28:K37,M$28:M37)&lt;=25,SUM($O$22:$P$26,K$28:K38,M$28:M38)&gt;25)),"O","N"))</f>
      </c>
      <c r="O38" s="132">
        <f>IF(OR(N38="N",N38=""),"",IF(K38="","",IF((25-SUM(O$22:O37,P$22:P37))&gt;K38,K38,25-SUM(O$22:O37,P$22:P37))))</f>
      </c>
      <c r="P38" s="153">
        <f>IF(OR(N38="N",N38=""),"",IF(M38="","",IF(25-SUM($O$22:O38,$P$22:P37)&gt;M38,M38,25-SUM($O$22:O38,$P$22:P37))))</f>
      </c>
      <c r="Q38" s="127">
        <f t="shared" si="25"/>
      </c>
      <c r="R38" s="127">
        <f t="shared" si="26"/>
      </c>
      <c r="S38" s="150">
        <f t="shared" si="27"/>
      </c>
      <c r="T38" s="23">
        <f>IF(N38="O",MAX(T$20:T37)+1,"")</f>
      </c>
      <c r="U38" s="23">
        <f>IF(Q38="O",MAX(U$20:U37)+1,"")</f>
      </c>
      <c r="V38" s="106">
        <f>IF(W38&lt;&gt;"",VLOOKUP($B$20,'Grille IND'!$A$5:$F$653,3,FALSE),"")</f>
      </c>
      <c r="W38" s="106">
        <f t="shared" si="28"/>
      </c>
      <c r="X38" s="107">
        <f>IF(Y38&lt;&gt;"",VLOOKUP($B$20,'Grille IND'!$A$5:$F$653,4,FALSE),"")</f>
      </c>
      <c r="Y38" s="107">
        <f t="shared" si="29"/>
      </c>
      <c r="Z38" s="108">
        <f>IF(AA38&lt;&gt;"",VLOOKUP($B$20,'Grille IND'!$A$5:$F$653,5,FALSE),"")</f>
      </c>
      <c r="AA38" s="108">
        <f t="shared" si="30"/>
      </c>
      <c r="AB38" s="109">
        <f>IF(AC38&lt;&gt;"",VLOOKUP($B$20,'Grille IND'!$A$5:$F$653,6,FALSE),"")</f>
      </c>
      <c r="AC38" s="109">
        <f t="shared" si="31"/>
      </c>
      <c r="AO38" s="105">
        <f t="shared" si="9"/>
      </c>
    </row>
    <row r="39" spans="1:41" ht="15">
      <c r="A39" s="348"/>
      <c r="B39" s="139"/>
      <c r="C39" s="334"/>
      <c r="D39" s="156"/>
      <c r="E39" s="219"/>
      <c r="F39" s="220"/>
      <c r="G39" s="220">
        <f t="shared" si="32"/>
      </c>
      <c r="H39" s="220">
        <f t="shared" si="19"/>
      </c>
      <c r="I39" s="220">
        <f t="shared" si="20"/>
      </c>
      <c r="J39" s="206">
        <f t="shared" si="33"/>
      </c>
      <c r="K39" s="126">
        <f t="shared" si="34"/>
      </c>
      <c r="L39" s="206">
        <f t="shared" si="35"/>
      </c>
      <c r="M39" s="126">
        <f t="shared" si="36"/>
      </c>
      <c r="N39" s="270">
        <f>IF(AND(K39="",M39=""),"",IF(OR(SUM($O$22:$P$26,K$28:K39,M$28:M39)&lt;=25,AND(SUM($O$22:$P$26,K$28:K38,M$28:M38)&lt;=25,SUM($O$22:$P$26,K$28:K39,M$28:M39)&gt;25)),"O","N"))</f>
      </c>
      <c r="O39" s="132">
        <f>IF(OR(N39="N",N39=""),"",IF(K39="","",IF((25-SUM(O$22:O38,P$22:P38))&gt;K39,K39,25-SUM(O$22:O38,P$22:P38))))</f>
      </c>
      <c r="P39" s="153">
        <f>IF(OR(N39="N",N39=""),"",IF(M39="","",IF(25-SUM($O$22:O39,$P$22:P38)&gt;M39,M39,25-SUM($O$22:O39,$P$22:P38))))</f>
      </c>
      <c r="Q39" s="127">
        <f t="shared" si="25"/>
      </c>
      <c r="R39" s="127">
        <f t="shared" si="26"/>
      </c>
      <c r="S39" s="150">
        <f t="shared" si="27"/>
      </c>
      <c r="T39" s="23">
        <f>IF(N39="O",MAX(T$20:T38)+1,"")</f>
      </c>
      <c r="U39" s="23">
        <f>IF(Q39="O",MAX(U$20:U38)+1,"")</f>
      </c>
      <c r="V39" s="106">
        <f>IF(W39&lt;&gt;"",VLOOKUP($B$20,'Grille IND'!$A$5:$F$653,3,FALSE),"")</f>
      </c>
      <c r="W39" s="106">
        <f t="shared" si="28"/>
      </c>
      <c r="X39" s="107">
        <f>IF(Y39&lt;&gt;"",VLOOKUP($B$20,'Grille IND'!$A$5:$F$653,4,FALSE),"")</f>
      </c>
      <c r="Y39" s="107">
        <f t="shared" si="29"/>
      </c>
      <c r="Z39" s="108">
        <f>IF(AA39&lt;&gt;"",VLOOKUP($B$20,'Grille IND'!$A$5:$F$653,5,FALSE),"")</f>
      </c>
      <c r="AA39" s="108">
        <f t="shared" si="30"/>
      </c>
      <c r="AB39" s="109">
        <f>IF(AC39&lt;&gt;"",VLOOKUP($B$20,'Grille IND'!$A$5:$F$653,6,FALSE),"")</f>
      </c>
      <c r="AC39" s="109">
        <f t="shared" si="31"/>
      </c>
      <c r="AO39" s="105">
        <f t="shared" si="9"/>
      </c>
    </row>
    <row r="40" spans="1:41" ht="15">
      <c r="A40" s="348"/>
      <c r="B40" s="139"/>
      <c r="C40" s="334"/>
      <c r="D40" s="156"/>
      <c r="E40" s="219"/>
      <c r="F40" s="220"/>
      <c r="G40" s="220">
        <f t="shared" si="32"/>
      </c>
      <c r="H40" s="220">
        <f t="shared" si="19"/>
      </c>
      <c r="I40" s="220">
        <f t="shared" si="20"/>
      </c>
      <c r="J40" s="206">
        <f t="shared" si="33"/>
      </c>
      <c r="K40" s="126">
        <f t="shared" si="34"/>
      </c>
      <c r="L40" s="206">
        <f t="shared" si="35"/>
      </c>
      <c r="M40" s="126">
        <f t="shared" si="36"/>
      </c>
      <c r="N40" s="270">
        <f>IF(AND(K40="",M40=""),"",IF(OR(SUM($O$22:$P$26,K$28:K40,M$28:M40)&lt;=25,AND(SUM($O$22:$P$26,K$28:K39,M$28:M39)&lt;=25,SUM($O$22:$P$26,K$28:K40,M$28:M40)&gt;25)),"O","N"))</f>
      </c>
      <c r="O40" s="132">
        <f>IF(OR(N40="N",N40=""),"",IF(K40="","",IF((25-SUM(O$22:O39,P$22:P39))&gt;K40,K40,25-SUM(O$22:O39,P$22:P39))))</f>
      </c>
      <c r="P40" s="153">
        <f>IF(OR(N40="N",N40=""),"",IF(M40="","",IF(25-SUM($O$22:O40,$P$22:P39)&gt;M40,M40,25-SUM($O$22:O40,$P$22:P39))))</f>
      </c>
      <c r="Q40" s="127">
        <f>IF(AND(N40="O",SUM(O40,P40)=SUM(K40,M40)),"",IF(AND(N40="O",SUM(O40,P40)&lt;SUM(K40,M40)),"O",IF(N40="N","O","")))</f>
      </c>
      <c r="R40" s="127">
        <f>IF(Q40="","",IF(AND(N40="O",Q40="O"),IF(K40="","",K40-O40),IF(N40="N",IF(K40="","",K40),"")))</f>
      </c>
      <c r="S40" s="150">
        <f>IF(Q40="","",IF(AND(N40="O",Q40="O"),IF(M40="","",M40-P40),IF(N40="N",IF(M40="","",M40),"")))</f>
      </c>
      <c r="T40" s="23">
        <f>IF(N40="O",MAX(T$20:T39)+1,"")</f>
      </c>
      <c r="U40" s="23">
        <f>IF(Q40="O",MAX(U$20:U39)+1,"")</f>
      </c>
      <c r="V40" s="106">
        <f>IF(W40&lt;&gt;"",VLOOKUP($B$20,'Grille IND'!$A$5:$F$653,3,FALSE),"")</f>
      </c>
      <c r="W40" s="106">
        <f t="shared" si="28"/>
      </c>
      <c r="X40" s="107">
        <f>IF(Y40&lt;&gt;"",VLOOKUP($B$20,'Grille IND'!$A$5:$F$653,4,FALSE),"")</f>
      </c>
      <c r="Y40" s="107">
        <f t="shared" si="29"/>
      </c>
      <c r="Z40" s="108">
        <f>IF(AA40&lt;&gt;"",VLOOKUP($B$20,'Grille IND'!$A$5:$F$653,5,FALSE),"")</f>
      </c>
      <c r="AA40" s="108">
        <f t="shared" si="30"/>
      </c>
      <c r="AB40" s="109">
        <f>IF(AC40&lt;&gt;"",VLOOKUP($B$20,'Grille IND'!$A$5:$F$653,6,FALSE),"")</f>
      </c>
      <c r="AC40" s="109">
        <f t="shared" si="31"/>
      </c>
      <c r="AO40" s="105">
        <f t="shared" si="9"/>
      </c>
    </row>
    <row r="41" spans="1:41" ht="18" thickBot="1">
      <c r="A41" s="349"/>
      <c r="B41" s="183"/>
      <c r="C41" s="353"/>
      <c r="D41" s="164"/>
      <c r="E41" s="208"/>
      <c r="F41" s="230"/>
      <c r="G41" s="230"/>
      <c r="H41" s="335" t="s">
        <v>29</v>
      </c>
      <c r="I41" s="335"/>
      <c r="J41" s="208">
        <f>SUM(J28:J37)</f>
        <v>0.05208333333333337</v>
      </c>
      <c r="K41" s="163">
        <f>SUM(K22:K40)</f>
        <v>2.000000000000001</v>
      </c>
      <c r="L41" s="208">
        <f>SUM(L28:L37)</f>
        <v>0.8222222222222222</v>
      </c>
      <c r="M41" s="163">
        <f>SUM(M22:M40)</f>
        <v>28.733333333333327</v>
      </c>
      <c r="N41" s="162"/>
      <c r="O41" s="336">
        <f>SUM(O26:P40)</f>
        <v>16.500000000000004</v>
      </c>
      <c r="P41" s="336"/>
      <c r="Q41" s="177"/>
      <c r="R41" s="257">
        <f>SUM(R26:R40)</f>
        <v>0</v>
      </c>
      <c r="S41" s="257">
        <f>SUM(S26:S40)</f>
        <v>4.483333333333331</v>
      </c>
      <c r="V41" s="239"/>
      <c r="W41" s="239">
        <f>SUM(W22:W40)</f>
        <v>16.75</v>
      </c>
      <c r="X41" s="240"/>
      <c r="Y41" s="240">
        <f>SUM(Y22:Y40)</f>
        <v>0</v>
      </c>
      <c r="Z41" s="241"/>
      <c r="AA41" s="241">
        <f>SUM(AA22:AA40)</f>
        <v>6.249999999999999</v>
      </c>
      <c r="AB41" s="242"/>
      <c r="AC41" s="242">
        <f>SUM(AC22:AC40)</f>
        <v>2.000000000000001</v>
      </c>
      <c r="AO41" s="105">
        <f t="shared" si="9"/>
      </c>
    </row>
    <row r="42" spans="1:41" ht="18.75" customHeight="1" thickBot="1">
      <c r="A42" s="198"/>
      <c r="B42" s="195"/>
      <c r="C42" s="265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32">
        <f>IF(Q42="O",MAX(T$2:T41)+1,"")</f>
      </c>
      <c r="U42" s="23"/>
      <c r="V42" s="239"/>
      <c r="W42" s="239">
        <f>SUMPRODUCT(V22:V40,W22:W40)</f>
        <v>266.4925</v>
      </c>
      <c r="X42" s="240"/>
      <c r="Y42" s="240">
        <f>SUMPRODUCT(X22:X40,Y22:Y40)</f>
        <v>0</v>
      </c>
      <c r="Z42" s="241"/>
      <c r="AA42" s="241">
        <f>SUMPRODUCT(Z22:Z40,AA22:AA40)</f>
        <v>165.74999999999997</v>
      </c>
      <c r="AB42" s="242"/>
      <c r="AC42" s="242">
        <f>SUMPRODUCT(AB22:AB40,AC22:AC40)</f>
        <v>63.64000000000003</v>
      </c>
      <c r="AD42" s="125"/>
      <c r="AO42" s="105">
        <f t="shared" si="9"/>
      </c>
    </row>
    <row r="43" spans="1:41" ht="15">
      <c r="A43" s="347" t="s">
        <v>161</v>
      </c>
      <c r="B43" s="24">
        <f>VLOOKUP($B$1,INFOS!A:AU,39,FALSE)</f>
        <v>457</v>
      </c>
      <c r="C43" s="354" t="s">
        <v>31</v>
      </c>
      <c r="D43" s="405" t="s">
        <v>170</v>
      </c>
      <c r="E43" s="398"/>
      <c r="F43" s="398"/>
      <c r="G43" s="398"/>
      <c r="H43" s="398"/>
      <c r="I43" s="398"/>
      <c r="J43" s="398"/>
      <c r="K43" s="398"/>
      <c r="L43" s="398"/>
      <c r="M43" s="399"/>
      <c r="N43" s="339" t="s">
        <v>32</v>
      </c>
      <c r="O43" s="340"/>
      <c r="P43" s="340"/>
      <c r="Q43" s="341"/>
      <c r="R43" s="345">
        <f>R41</f>
        <v>0</v>
      </c>
      <c r="S43" s="331">
        <f>S41</f>
        <v>4.483333333333331</v>
      </c>
      <c r="T43" s="31">
        <f>IF(N43="O",MAX(T$19:T42)+1,"")</f>
      </c>
      <c r="V43" s="99"/>
      <c r="W43" s="99"/>
      <c r="X43" s="99"/>
      <c r="Y43" s="99"/>
      <c r="Z43" s="99"/>
      <c r="AA43" s="99"/>
      <c r="AB43" s="99"/>
      <c r="AC43" s="99"/>
      <c r="AO43" s="397"/>
    </row>
    <row r="44" spans="1:41" ht="15">
      <c r="A44" s="348"/>
      <c r="B44" s="129">
        <f>VLOOKUP($B$1,INFOS!A:AU,40,FALSE)</f>
        <v>1</v>
      </c>
      <c r="C44" s="354"/>
      <c r="D44" s="408"/>
      <c r="E44" s="408"/>
      <c r="F44" s="408"/>
      <c r="G44" s="408"/>
      <c r="H44" s="408"/>
      <c r="I44" s="408"/>
      <c r="J44" s="408"/>
      <c r="K44" s="408"/>
      <c r="L44" s="408"/>
      <c r="M44" s="409"/>
      <c r="N44" s="342"/>
      <c r="O44" s="343"/>
      <c r="P44" s="343"/>
      <c r="Q44" s="344"/>
      <c r="R44" s="346"/>
      <c r="S44" s="332"/>
      <c r="T44" s="31">
        <f>IF(N44="O",MAX(T$19:T43)+1,"")</f>
      </c>
      <c r="V44" s="34"/>
      <c r="X44" s="34"/>
      <c r="Y44" s="34"/>
      <c r="Z44" s="34"/>
      <c r="AA44" s="34"/>
      <c r="AB44" s="34"/>
      <c r="AC44" s="34"/>
      <c r="AO44" s="397"/>
    </row>
    <row r="45" spans="1:41" ht="15">
      <c r="A45" s="348"/>
      <c r="B45" s="352" t="str">
        <f>VLOOKUP($B$1,INFOS!A:AU,9,FALSE)</f>
        <v>Direction Générale des Services</v>
      </c>
      <c r="C45" s="354"/>
      <c r="D45" s="171">
        <f>IF(ROWS($D45:D$45)&lt;=MAX($U$22:$U$40),INDEX($D$22:$D$40,MATCH(ROWS($D45:D$45),$U$22:$U$40,0)),"")</f>
        <v>43059</v>
      </c>
      <c r="E45" s="209">
        <f aca="true" t="shared" si="37" ref="E45:M49">IF($D45&lt;&gt;"",_xlfn.IFERROR(VLOOKUP($D45,$D$28:$S$40,COLUMN(B$1),0),""),"")</f>
        <v>0.3333333333333333</v>
      </c>
      <c r="F45" s="209">
        <f t="shared" si="37"/>
        <v>0.5069444444444444</v>
      </c>
      <c r="G45" s="209">
        <f t="shared" si="37"/>
        <v>0.1736111111111111</v>
      </c>
      <c r="H45" s="209">
        <f t="shared" si="37"/>
      </c>
      <c r="I45" s="209">
        <f t="shared" si="37"/>
      </c>
      <c r="J45" s="209">
        <f t="shared" si="37"/>
      </c>
      <c r="K45" s="160">
        <f t="shared" si="37"/>
      </c>
      <c r="L45" s="209">
        <f t="shared" si="37"/>
        <v>0.1736111111111111</v>
      </c>
      <c r="M45" s="160">
        <f t="shared" si="37"/>
        <v>4.166666666666666</v>
      </c>
      <c r="N45" s="281" t="str">
        <f>IF(OR(O45&lt;&gt;"",P45&lt;&gt;""),"O","")</f>
        <v>O</v>
      </c>
      <c r="O45" s="274">
        <f>IF($D26&lt;&gt;"",_xlfn.IFERROR(VLOOKUP($D26,$D$28:$S$40,COLUMN(O$1),0),""),"")</f>
      </c>
      <c r="P45" s="274">
        <f>IF($D45&lt;&gt;"",_xlfn.IFERROR(VLOOKUP($D45,$D$22:$S$40,COLUMN(P$1),0),""),"")</f>
        <v>2.316666666666661</v>
      </c>
      <c r="Q45" s="282"/>
      <c r="R45" s="282"/>
      <c r="S45" s="288"/>
      <c r="T45" s="31">
        <f>IF(N45="O",MAX(T$43:T44)+1,"")</f>
        <v>1</v>
      </c>
      <c r="U45" s="31">
        <f>IF(Q45="O",MAX(U$43:U44)+1,"")</f>
      </c>
      <c r="V45" s="106">
        <f>IF(W45&lt;&gt;"",VLOOKUP($B$20,'Grille IND'!$A$5:$F$653,3,FALSE),"")</f>
        <v>15.91</v>
      </c>
      <c r="W45" s="106">
        <f>IF(T45="","",IF(OR(AO45="D",AO45="F"),"",IF(OR(AND(N45="O",Q45="",P45&lt;=14),AND(N45="O",Q45="O",P45&lt;=14)),P45,14)))</f>
        <v>2.316666666666661</v>
      </c>
      <c r="X45" s="107">
        <f>IF(Y45&lt;&gt;"",VLOOKUP($B$20,'Grille IND'!$A$5:$F$653,4,FALSE),"")</f>
      </c>
      <c r="Y45" s="107">
        <f>IF(T45="","",IF(OR(AO45="D",AO45="F"),"",IF(OR(AND(N45="O",Q45="",P45&gt;14),AND(N45="O",Q45="O",P45&gt;14)),P45-14,"")))</f>
      </c>
      <c r="Z45" s="108">
        <f>IF(AA45&lt;&gt;"",VLOOKUP($B$20,'Grille IND'!$A$5:$F$653,5,FALSE),"")</f>
      </c>
      <c r="AA45" s="108">
        <f>IF(T45="","",IF(OR(AND(OR(AO45="D",AO45="F"),N45="O",Q45=""),AND(OR(AO45="D",AO45="F"),N45="O",Q45="O")),P45,""))</f>
      </c>
      <c r="AB45" s="109">
        <f>IF(AC45&lt;&gt;"",VLOOKUP($B$20,'Grille IND'!$A$5:$F$653,6,FALSE),"")</f>
      </c>
      <c r="AC45" s="109">
        <f>IF(T45="","",IF(O45="","",O45))</f>
      </c>
      <c r="AO45" s="105">
        <f t="shared" si="9"/>
      </c>
    </row>
    <row r="46" spans="1:41" ht="15">
      <c r="A46" s="348"/>
      <c r="B46" s="352"/>
      <c r="C46" s="354"/>
      <c r="D46" s="171">
        <f>IF(ROWS($D$45:D46)&lt;=MAX($U$22:$U$40),INDEX($D$22:$D$40,MATCH(ROWS($D$45:D46),$U$22:$U$40,0)),"")</f>
        <v>43060</v>
      </c>
      <c r="E46" s="209">
        <f t="shared" si="37"/>
        <v>0.7916666666666666</v>
      </c>
      <c r="F46" s="209">
        <f t="shared" si="37"/>
        <v>0.8819444444444445</v>
      </c>
      <c r="G46" s="209">
        <f t="shared" si="37"/>
        <v>0.0902777777777779</v>
      </c>
      <c r="H46" s="209">
        <f t="shared" si="37"/>
      </c>
      <c r="I46" s="159">
        <f t="shared" si="37"/>
      </c>
      <c r="J46" s="209">
        <f t="shared" si="37"/>
      </c>
      <c r="K46" s="160">
        <f t="shared" si="37"/>
      </c>
      <c r="L46" s="209">
        <f t="shared" si="37"/>
        <v>0.0902777777777779</v>
      </c>
      <c r="M46" s="160">
        <f t="shared" si="37"/>
        <v>2.1666666666666696</v>
      </c>
      <c r="N46" s="283" t="str">
        <f>IF(OR(O46&lt;&gt;"",P46&lt;&gt;""),"O","")</f>
        <v>O</v>
      </c>
      <c r="O46" s="284">
        <f>IF($D27&lt;&gt;"",_xlfn.IFERROR(VLOOKUP($D27,$D$28:$S$40,COLUMN(O$1),0),""),"")</f>
      </c>
      <c r="P46" s="279">
        <f>IF($D46&lt;&gt;"",_xlfn.IFERROR(VLOOKUP($D46,$D$22:$S$40,COLUMN(P$1),0),""),"")</f>
        <v>2.1666666666666696</v>
      </c>
      <c r="Q46" s="285"/>
      <c r="R46" s="285"/>
      <c r="S46" s="287"/>
      <c r="T46" s="31">
        <f>IF(N46="O",MAX(T$43:T45)+1,"")</f>
        <v>2</v>
      </c>
      <c r="U46" s="31">
        <f>IF(Q46="O",MAX(U$43:U45)+1,"")</f>
      </c>
      <c r="V46" s="106">
        <f>IF(W46&lt;&gt;"",VLOOKUP($B$20,'Grille IND'!$A$5:$F$653,3,FALSE),"")</f>
        <v>15.91</v>
      </c>
      <c r="W46" s="106">
        <f>IF(T46="","",IF(OR(AO46="D",AO46="F"),"",IF(OR(AND(N46="O",Q46="",P46&lt;=14),AND(N46="O",Q46="O",P46&lt;=14)),P46,14)))</f>
        <v>2.1666666666666696</v>
      </c>
      <c r="X46" s="107">
        <f>IF(Y46&lt;&gt;"",VLOOKUP($B$20,'Grille IND'!$A$5:$F$653,4,FALSE),"")</f>
      </c>
      <c r="Y46" s="107">
        <f>IF(T46="","",IF(OR(AO46="D",AO46="F"),"",IF(OR(AND(N46="O",Q46="",P46&gt;14),AND(N46="O",Q46="O",P46&gt;14)),P46-14,"")))</f>
      </c>
      <c r="Z46" s="108">
        <f>IF(AA46&lt;&gt;"",VLOOKUP($B$20,'Grille IND'!$A$5:$F$653,5,FALSE),"")</f>
      </c>
      <c r="AA46" s="108">
        <f>IF(T46="","",IF(OR(AND(OR(AO46="D",AO46="F"),N46="O",Q46=""),AND(OR(AO46="D",AO46="F"),N46="O",Q46="O")),P46,""))</f>
      </c>
      <c r="AB46" s="109">
        <f>IF(AC46&lt;&gt;"",VLOOKUP($B$20,'Grille IND'!$A$5:$F$653,6,FALSE),"")</f>
      </c>
      <c r="AC46" s="109">
        <f>IF(T46="","",IF(O46="","",O46))</f>
      </c>
      <c r="AO46" s="105">
        <f t="shared" si="9"/>
      </c>
    </row>
    <row r="47" spans="1:41" ht="15">
      <c r="A47" s="348"/>
      <c r="C47" s="354"/>
      <c r="D47" s="171">
        <f>IF(ROWS($D$45:D47)&lt;=MAX($U$22:$U$40),INDEX($D$22:$D$40,MATCH(ROWS($D$45:D47),$U$22:$U$40,0)),"")</f>
      </c>
      <c r="E47" s="209">
        <f t="shared" si="37"/>
      </c>
      <c r="F47" s="209">
        <f t="shared" si="37"/>
      </c>
      <c r="G47" s="209">
        <f t="shared" si="37"/>
      </c>
      <c r="H47" s="209">
        <f t="shared" si="37"/>
      </c>
      <c r="I47" s="159">
        <f t="shared" si="37"/>
      </c>
      <c r="J47" s="209">
        <f t="shared" si="37"/>
      </c>
      <c r="K47" s="160">
        <f t="shared" si="37"/>
      </c>
      <c r="L47" s="209">
        <f t="shared" si="37"/>
      </c>
      <c r="M47" s="160">
        <f t="shared" si="37"/>
      </c>
      <c r="N47" s="283">
        <f>IF(OR(O47&lt;&gt;"",P47&lt;&gt;""),"O","")</f>
      </c>
      <c r="O47" s="284">
        <f>IF($D28&lt;&gt;"",_xlfn.IFERROR(VLOOKUP($D28,$D$28:$S$40,COLUMN(O$1),0),""),"")</f>
      </c>
      <c r="P47" s="279">
        <f>IF($D47&lt;&gt;"",_xlfn.IFERROR(VLOOKUP($D47,$D$22:$S$40,COLUMN(P$1),0),""),"")</f>
      </c>
      <c r="Q47" s="285"/>
      <c r="R47" s="285"/>
      <c r="S47" s="287"/>
      <c r="T47" s="31">
        <f>IF(N47="O",MAX(T$43:T46)+1,"")</f>
      </c>
      <c r="U47" s="31">
        <f>IF(Q47="O",MAX(U$43:U46)+1,"")</f>
      </c>
      <c r="V47" s="106">
        <f>IF(W47&lt;&gt;"",VLOOKUP($B$20,'Grille IND'!$A$5:$F$653,3,FALSE),"")</f>
      </c>
      <c r="W47" s="106">
        <f>IF(T47="","",IF(OR(AO47="D",AO47="F"),"",IF(OR(AND(N47="O",Q47="",P47&lt;=14),AND(N47="O",Q47="O",P47&lt;=14)),P47,14)))</f>
      </c>
      <c r="X47" s="107">
        <f>IF(Y47&lt;&gt;"",VLOOKUP($B$20,'Grille IND'!$A$5:$F$653,4,FALSE),"")</f>
      </c>
      <c r="Y47" s="107">
        <f>IF(T47="","",IF(OR(AO47="D",AO47="F"),"",IF(OR(AND(N47="O",Q47="",P47&gt;14),AND(N47="O",Q47="O",P47&gt;14)),P47-14,"")))</f>
      </c>
      <c r="Z47" s="108">
        <f>IF(AA47&lt;&gt;"",VLOOKUP($B$20,'Grille IND'!$A$5:$F$653,5,FALSE),"")</f>
      </c>
      <c r="AA47" s="108">
        <f>IF(T47="","",IF(OR(AND(OR(AO47="D",AO47="F"),N47="O",Q47=""),AND(OR(AO47="D",AO47="F"),N47="O",Q47="O")),P47,""))</f>
      </c>
      <c r="AB47" s="109">
        <f>IF(AC47&lt;&gt;"",VLOOKUP($B$20,'Grille IND'!$A$5:$F$653,6,FALSE),"")</f>
      </c>
      <c r="AC47" s="109">
        <f>IF(T47="","",IF(O47="","",O47))</f>
      </c>
      <c r="AO47" s="105">
        <f t="shared" si="9"/>
      </c>
    </row>
    <row r="48" spans="1:41" ht="15">
      <c r="A48" s="348"/>
      <c r="C48" s="354"/>
      <c r="D48" s="171">
        <f>IF(ROWS($D$45:D48)&lt;=MAX($U$22:$U$40),INDEX($D$22:$D$40,MATCH(ROWS($D$45:D48),$U$22:$U$40,0)),"")</f>
      </c>
      <c r="E48" s="209">
        <f t="shared" si="37"/>
      </c>
      <c r="F48" s="209">
        <f t="shared" si="37"/>
      </c>
      <c r="G48" s="209">
        <f t="shared" si="37"/>
      </c>
      <c r="H48" s="209">
        <f t="shared" si="37"/>
      </c>
      <c r="I48" s="159">
        <f t="shared" si="37"/>
      </c>
      <c r="J48" s="209">
        <f t="shared" si="37"/>
      </c>
      <c r="K48" s="160">
        <f t="shared" si="37"/>
      </c>
      <c r="L48" s="209">
        <f t="shared" si="37"/>
      </c>
      <c r="M48" s="160">
        <f t="shared" si="37"/>
      </c>
      <c r="N48" s="283">
        <f>IF(OR(O48&lt;&gt;"",P48&lt;&gt;""),"O","")</f>
      </c>
      <c r="O48" s="284">
        <f>IF($D29&lt;&gt;"",_xlfn.IFERROR(VLOOKUP($D29,$D$28:$S$40,COLUMN(O$1),0),""),"")</f>
      </c>
      <c r="P48" s="279">
        <f>IF($D48&lt;&gt;"",_xlfn.IFERROR(VLOOKUP($D48,$D$22:$S$40,COLUMN(P$1),0),""),"")</f>
      </c>
      <c r="Q48" s="285"/>
      <c r="R48" s="285"/>
      <c r="S48" s="287"/>
      <c r="V48" s="106">
        <f>IF(W48&lt;&gt;"",VLOOKUP($B$20,'Grille IND'!$A$5:$F$653,3,FALSE),"")</f>
      </c>
      <c r="W48" s="106">
        <f>IF(T48="","",IF(OR(AO48="D",AO48="F"),"",IF(OR(AND(N48="O",Q48="",P48&lt;=14),AND(N48="O",Q48="O",P48&lt;=14)),P48,14)))</f>
      </c>
      <c r="X48" s="107">
        <f>IF(Y48&lt;&gt;"",VLOOKUP($B$20,'Grille IND'!$A$5:$F$653,4,FALSE),"")</f>
      </c>
      <c r="Y48" s="107">
        <f>IF(T48="","",IF(OR(AO48="D",AO48="F"),"",IF(OR(AND(N48="O",Q48="",P48&gt;14),AND(N48="O",Q48="O",P48&gt;14)),P48-14,"")))</f>
      </c>
      <c r="Z48" s="108">
        <f>IF(AA48&lt;&gt;"",VLOOKUP($B$20,'Grille IND'!$A$5:$F$653,5,FALSE),"")</f>
      </c>
      <c r="AA48" s="108">
        <f>IF(T48="","",IF(OR(AND(OR(AO48="D",AO48="F"),N48="O",Q48=""),AND(OR(AO48="D",AO48="F"),N48="O",Q48="O")),P48,""))</f>
      </c>
      <c r="AB48" s="109">
        <f>IF(AC48&lt;&gt;"",VLOOKUP($B$20,'Grille IND'!$A$5:$F$653,6,FALSE),"")</f>
      </c>
      <c r="AC48" s="109">
        <f>IF(T48="","",IF(O48="","",O48))</f>
      </c>
      <c r="AO48" s="105">
        <f t="shared" si="9"/>
      </c>
    </row>
    <row r="49" spans="1:41" ht="15">
      <c r="A49" s="348"/>
      <c r="C49" s="354"/>
      <c r="D49" s="171">
        <f>IF(ROWS($D$45:D49)&lt;=MAX($U$22:$U$40),INDEX($D$22:$D$40,MATCH(ROWS($D$45:D49),$U$22:$U$40,0)),"")</f>
      </c>
      <c r="E49" s="209">
        <f t="shared" si="37"/>
      </c>
      <c r="F49" s="209">
        <f t="shared" si="37"/>
      </c>
      <c r="G49" s="209">
        <f t="shared" si="37"/>
      </c>
      <c r="H49" s="209">
        <f t="shared" si="37"/>
      </c>
      <c r="I49" s="159">
        <f t="shared" si="37"/>
      </c>
      <c r="J49" s="209">
        <f t="shared" si="37"/>
      </c>
      <c r="K49" s="160">
        <f t="shared" si="37"/>
      </c>
      <c r="L49" s="209">
        <f t="shared" si="37"/>
      </c>
      <c r="M49" s="160">
        <f t="shared" si="37"/>
      </c>
      <c r="N49" s="283">
        <f>IF(OR(O49&lt;&gt;"",P49&lt;&gt;""),"O","")</f>
      </c>
      <c r="O49" s="284">
        <f>IF($D30&lt;&gt;"",_xlfn.IFERROR(VLOOKUP($D30,$D$28:$S$40,COLUMN(O$1),0),""),"")</f>
      </c>
      <c r="P49" s="279">
        <f>IF($D49&lt;&gt;"",_xlfn.IFERROR(VLOOKUP($D49,$D$22:$S$40,COLUMN(P$1),0),""),"")</f>
      </c>
      <c r="Q49" s="285"/>
      <c r="R49" s="285"/>
      <c r="S49" s="287"/>
      <c r="T49" s="31">
        <f>IF(N49="O",MAX(T$43:T47)+1,"")</f>
      </c>
      <c r="U49" s="31">
        <f>IF(Q49="O",MAX(U$43:U47)+1,"")</f>
      </c>
      <c r="V49" s="106">
        <f>IF(W49&lt;&gt;"",VLOOKUP($B$20,'Grille IND'!$A$5:$F$653,3,FALSE),"")</f>
      </c>
      <c r="W49" s="106">
        <f>IF(T49="","",IF(OR(AO49="D",AO49="F"),"",IF(OR(AND(N49="O",Q49="",P49&lt;=14),AND(N49="O",Q49="O",P49&lt;=14)),P49,14)))</f>
      </c>
      <c r="X49" s="107">
        <f>IF(Y49&lt;&gt;"",VLOOKUP($B$20,'Grille IND'!$A$5:$F$653,4,FALSE),"")</f>
      </c>
      <c r="Y49" s="107">
        <f>IF(T49="","",IF(OR(AO49="D",AO49="F"),"",IF(OR(AND(N49="O",Q49="",P49&gt;14),AND(N49="O",Q49="O",P49&gt;14)),P49-14,"")))</f>
      </c>
      <c r="Z49" s="108">
        <f>IF(AA49&lt;&gt;"",VLOOKUP($B$20,'Grille IND'!$A$5:$F$653,5,FALSE),"")</f>
      </c>
      <c r="AA49" s="108">
        <f>IF(T49="","",IF(OR(AND(OR(AO49="D",AO49="F"),N49="O",Q49=""),AND(OR(AO49="D",AO49="F"),N49="O",Q49="O")),P49,""))</f>
      </c>
      <c r="AB49" s="109">
        <f>IF(AC49&lt;&gt;"",VLOOKUP($B$20,'Grille IND'!$A$5:$F$653,6,FALSE),"")</f>
      </c>
      <c r="AC49" s="109">
        <f>IF(T49="","",IF(O49="","",O49))</f>
      </c>
      <c r="AO49" s="105">
        <f t="shared" si="9"/>
      </c>
    </row>
    <row r="50" spans="1:41" ht="15">
      <c r="A50" s="348"/>
      <c r="C50" s="354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31">
        <f>IF(N50="O",MAX(T$43:T49)+1,"")</f>
      </c>
      <c r="U50" s="31">
        <f>IF(Q50="O",MAX(U$43:U49)+1,"")</f>
      </c>
      <c r="V50" s="238"/>
      <c r="W50" s="238"/>
      <c r="X50" s="252"/>
      <c r="Y50" s="252"/>
      <c r="Z50" s="253"/>
      <c r="AA50" s="253"/>
      <c r="AB50" s="254"/>
      <c r="AC50" s="254"/>
      <c r="AO50" s="105">
        <f t="shared" si="9"/>
      </c>
    </row>
    <row r="51" spans="1:41" ht="14.25" customHeight="1">
      <c r="A51" s="348"/>
      <c r="C51" s="334" t="s">
        <v>27</v>
      </c>
      <c r="D51" s="133">
        <v>43052</v>
      </c>
      <c r="E51" s="210">
        <v>0.7152777777777778</v>
      </c>
      <c r="F51" s="213">
        <v>0.8881944444444444</v>
      </c>
      <c r="G51" s="213">
        <f aca="true" t="shared" si="38" ref="G51:G63">IF(AND(E51="",F51=""),"",MOD(F51-E51,1))</f>
        <v>0.1729166666666666</v>
      </c>
      <c r="H51" s="134">
        <f aca="true" t="shared" si="39" ref="H51:H63">IF(E51="","",IF($E51&lt;$AJ$3,$AJ$3-$E51,""))</f>
      </c>
      <c r="I51" s="134">
        <f aca="true" t="shared" si="40" ref="I51:I63">IF(F51="","",IF($F51&gt;$AK$3,$F51-$AK$3,""))</f>
      </c>
      <c r="J51" s="210">
        <f>IF(AND(H51="",I51=""),"",SUM(H51,I51))</f>
      </c>
      <c r="K51" s="135">
        <f>IF(J51="","",J51*24)</f>
      </c>
      <c r="L51" s="210">
        <f>IF(AND(E51="",F51=""),"",IF(J51&lt;&gt;"",G51-J51,G51))</f>
        <v>0.1729166666666666</v>
      </c>
      <c r="M51" s="135">
        <f>IF(L51="","",L51*24)</f>
        <v>4.149999999999999</v>
      </c>
      <c r="N51" s="271" t="str">
        <f>IF(AND(K51="",M51=""),"",IF(OR(SUM($O$45:$P$49,K$51:K51,M$51:M51)&lt;=25,AND(SUM($O$45:$P$49,K$50:K50,M$50:M50)&lt;=25,SUM($O$45:$P$49,K$51:K51,M$51:M51)&gt;25)),"O","N"))</f>
        <v>O</v>
      </c>
      <c r="O51" s="136">
        <f>IF(OR(N51="N",N51=""),"",IF(K51="","",IF((25-SUM(O$45:O50,P$45:P50))&gt;K51,K51,25-SUM(O$45:O50,P$45:P50))))</f>
      </c>
      <c r="P51" s="135">
        <f>IF(OR(N51="N",N51=""),"",IF(M51="","",IF(25-SUM($O$45:O51,$P$45:P50)&gt;M51,M51,25-SUM($O$45:O51,$P$45:P50))))</f>
        <v>4.149999999999999</v>
      </c>
      <c r="Q51" s="137">
        <f aca="true" t="shared" si="41" ref="Q51:Q63">IF(AND(N51="O",SUM(O51,P51)=SUM(K51,M51)),"",IF(AND(N51="O",SUM(O51,P51)&lt;SUM(K51,M51)),"O",IF(N51="N","O","")))</f>
      </c>
      <c r="R51" s="135">
        <f aca="true" t="shared" si="42" ref="R51:R63">IF(Q51="","",IF(AND(N51="O",Q51="O"),IF(K51="","",K51-O51),IF(N51="N",IF(K51="","",K51),"")))</f>
      </c>
      <c r="S51" s="141">
        <f aca="true" t="shared" si="43" ref="S51:S62">IF(Q51="","",IF(AND(N51="O",Q51="O"),IF(M51="","",M51-P51),IF(N51="N",IF(M51="","",M51),"")))</f>
      </c>
      <c r="T51" s="31">
        <f>IF(N51="O",MAX(T$43:T50)+1,"")</f>
        <v>3</v>
      </c>
      <c r="U51" s="31">
        <f>IF(Q51="O",MAX(U$43:U50)+1,"")</f>
      </c>
      <c r="V51" s="106">
        <f>IF(W51&lt;&gt;"",VLOOKUP($B$20,'Grille IND'!$A$5:$F$653,3,FALSE),"")</f>
        <v>15.91</v>
      </c>
      <c r="W51" s="106">
        <f aca="true" t="shared" si="44" ref="W51:W63">IF(T51="","",IF(OR(AO51="D",AO51="F"),"",IF(OR(AND(N51="O",Q51="",P51&lt;=14),AND(N51="O",Q51="O",P51&lt;=14)),P51,14)))</f>
        <v>4.149999999999999</v>
      </c>
      <c r="X51" s="107">
        <f>IF(Y51&lt;&gt;"",VLOOKUP($B$20,'Grille IND'!$A$5:$F$653,4,FALSE),"")</f>
      </c>
      <c r="Y51" s="107">
        <f aca="true" t="shared" si="45" ref="Y51:Y63">IF(T51="","",IF(OR(AO51="D",AO51="F"),"",IF(OR(AND(N51="O",Q51="",P51&gt;14),AND(N51="O",Q51="O",P51&gt;14)),P51-14,"")))</f>
      </c>
      <c r="Z51" s="108">
        <f>IF(AA51&lt;&gt;"",VLOOKUP($B$20,'Grille IND'!$A$5:$F$653,5,FALSE),"")</f>
      </c>
      <c r="AA51" s="108">
        <f aca="true" t="shared" si="46" ref="AA51:AA63">IF(T51="","",IF(OR(AND(OR(AO51="D",AO51="F"),N51="O",Q51=""),AND(OR(AO51="D",AO51="F"),N51="O",Q51="O")),P51,""))</f>
      </c>
      <c r="AB51" s="109">
        <f>IF(AC51&lt;&gt;"",VLOOKUP($B$20,'Grille IND'!$A$5:$F$653,6,FALSE),"")</f>
      </c>
      <c r="AC51" s="109">
        <f aca="true" t="shared" si="47" ref="AC51:AC63">IF(T51="","",IF(O51="","",O51))</f>
      </c>
      <c r="AO51" s="105">
        <f t="shared" si="9"/>
      </c>
    </row>
    <row r="52" spans="1:41" ht="15">
      <c r="A52" s="348"/>
      <c r="C52" s="334"/>
      <c r="D52" s="133">
        <v>43057</v>
      </c>
      <c r="E52" s="210">
        <v>0.7083333333333334</v>
      </c>
      <c r="F52" s="213">
        <v>0.96875</v>
      </c>
      <c r="G52" s="213">
        <f t="shared" si="38"/>
        <v>0.26041666666666663</v>
      </c>
      <c r="H52" s="134">
        <f t="shared" si="39"/>
      </c>
      <c r="I52" s="213">
        <f t="shared" si="40"/>
        <v>0.05208333333333337</v>
      </c>
      <c r="J52" s="210">
        <f aca="true" t="shared" si="48" ref="J52:J63">IF(AND(H52="",I52=""),"",SUM(H52,I52))</f>
        <v>0.05208333333333337</v>
      </c>
      <c r="K52" s="135">
        <f aca="true" t="shared" si="49" ref="K52:K63">IF(J52="","",J52*24)</f>
        <v>1.2500000000000009</v>
      </c>
      <c r="L52" s="210">
        <f>IF(AND(E52="",F52=""),"",IF(J52&lt;&gt;"",G52-J52,G52))</f>
        <v>0.20833333333333326</v>
      </c>
      <c r="M52" s="135">
        <f>IF(L52="","",L52*24)</f>
        <v>4.999999999999998</v>
      </c>
      <c r="N52" s="271" t="str">
        <f>IF(AND(K52="",M52=""),"",IF(OR(SUM($O$45:$P$49,K$51:K52,M$51:M52)&lt;=25,AND(SUM($O$45:$P$49,K$50:K51,M$50:M51)&lt;=25,SUM($O$45:$P$49,K$51:K52,M$51:M52)&gt;25)),"O","N"))</f>
        <v>O</v>
      </c>
      <c r="O52" s="136">
        <f>IF(OR(N52="N",N52=""),"",IF(K52="","",IF((25-SUM(O$45:O51,P$45:P51))&gt;K52,K52,25-SUM(O$45:O51,P$45:P51))))</f>
        <v>1.2500000000000009</v>
      </c>
      <c r="P52" s="135">
        <f>IF(OR(N52="N",N52=""),"",IF(M52="","",IF(25-SUM($O$45:O52,$P$45:P51)&gt;M52,M52,25-SUM($O$45:O52,$P$45:P51))))</f>
        <v>4.999999999999998</v>
      </c>
      <c r="Q52" s="137">
        <f t="shared" si="41"/>
      </c>
      <c r="R52" s="135">
        <f t="shared" si="42"/>
      </c>
      <c r="S52" s="141">
        <f t="shared" si="43"/>
      </c>
      <c r="T52" s="31">
        <f>IF(N52="O",MAX(T$43:T51)+1,"")</f>
        <v>4</v>
      </c>
      <c r="U52" s="31">
        <f>IF(Q52="O",MAX(U$43:U51)+1,"")</f>
      </c>
      <c r="V52" s="106">
        <f>IF(W52&lt;&gt;"",VLOOKUP($B$20,'Grille IND'!$A$5:$F$653,3,FALSE),"")</f>
        <v>15.91</v>
      </c>
      <c r="W52" s="106">
        <f t="shared" si="44"/>
        <v>4.999999999999998</v>
      </c>
      <c r="X52" s="107">
        <f>IF(Y52&lt;&gt;"",VLOOKUP($B$20,'Grille IND'!$A$5:$F$653,4,FALSE),"")</f>
      </c>
      <c r="Y52" s="107">
        <f t="shared" si="45"/>
      </c>
      <c r="Z52" s="108">
        <f>IF(AA52&lt;&gt;"",VLOOKUP($B$20,'Grille IND'!$A$5:$F$653,5,FALSE),"")</f>
      </c>
      <c r="AA52" s="108">
        <f t="shared" si="46"/>
      </c>
      <c r="AB52" s="109">
        <f>IF(AC52&lt;&gt;"",VLOOKUP($B$20,'Grille IND'!$A$5:$F$653,6,FALSE),"")</f>
        <v>31.82</v>
      </c>
      <c r="AC52" s="109">
        <f t="shared" si="47"/>
        <v>1.2500000000000009</v>
      </c>
      <c r="AO52" s="105">
        <f t="shared" si="9"/>
      </c>
    </row>
    <row r="53" spans="1:41" ht="15">
      <c r="A53" s="348"/>
      <c r="C53" s="334"/>
      <c r="D53" s="133">
        <v>43058</v>
      </c>
      <c r="E53" s="210">
        <v>0.375</v>
      </c>
      <c r="F53" s="213">
        <v>0.5520833333333334</v>
      </c>
      <c r="G53" s="213">
        <f t="shared" si="38"/>
        <v>0.17708333333333337</v>
      </c>
      <c r="H53" s="134">
        <f t="shared" si="39"/>
      </c>
      <c r="I53" s="214">
        <f t="shared" si="40"/>
      </c>
      <c r="J53" s="212">
        <f t="shared" si="48"/>
      </c>
      <c r="K53" s="138">
        <f t="shared" si="49"/>
      </c>
      <c r="L53" s="210">
        <f aca="true" t="shared" si="50" ref="L53:L63">IF(AND(E53="",F53=""),"",IF(J53&lt;&gt;"",G53-J53,G53))</f>
        <v>0.17708333333333337</v>
      </c>
      <c r="M53" s="135">
        <f>IF(L53="","",L53*24)</f>
        <v>4.250000000000001</v>
      </c>
      <c r="N53" s="271" t="str">
        <f>IF(AND(K53="",M53=""),"",IF(OR(SUM($O$45:$P$49,K$51:K53,M$51:M53)&lt;=25,AND(SUM($O$45:$P$49,K$50:K52,M$50:M52)&lt;=25,SUM($O$45:$P$49,K$51:K53,M$51:M53)&gt;25)),"O","N"))</f>
        <v>O</v>
      </c>
      <c r="O53" s="136">
        <f>IF(OR(N53="N",N53=""),"",IF(K53="","",IF((25-SUM(O$45:O52,P$45:P52))&gt;K53,K53,25-SUM(O$45:O52,P$45:P52))))</f>
      </c>
      <c r="P53" s="135">
        <f>IF(OR(N53="N",N53=""),"",IF(M53="","",IF(25-SUM($O$45:O53,$P$45:P52)&gt;M53,M53,25-SUM($O$45:O53,$P$45:P52))))</f>
        <v>4.250000000000001</v>
      </c>
      <c r="Q53" s="137">
        <f t="shared" si="41"/>
      </c>
      <c r="R53" s="135">
        <f t="shared" si="42"/>
      </c>
      <c r="S53" s="141">
        <f t="shared" si="43"/>
      </c>
      <c r="T53" s="31">
        <f>IF(N53="O",MAX(T$43:T52)+1,"")</f>
        <v>5</v>
      </c>
      <c r="U53" s="31">
        <f>IF(Q53="O",MAX(U$43:U52)+1,"")</f>
      </c>
      <c r="V53" s="106">
        <f>IF(W53&lt;&gt;"",VLOOKUP($B$20,'Grille IND'!$A$5:$F$653,3,FALSE),"")</f>
      </c>
      <c r="W53" s="106">
        <f t="shared" si="44"/>
      </c>
      <c r="X53" s="107">
        <f>IF(Y53&lt;&gt;"",VLOOKUP($B$20,'Grille IND'!$A$5:$F$653,4,FALSE),"")</f>
      </c>
      <c r="Y53" s="107">
        <f t="shared" si="45"/>
      </c>
      <c r="Z53" s="108">
        <f>IF(AA53&lt;&gt;"",VLOOKUP($B$20,'Grille IND'!$A$5:$F$653,5,FALSE),"")</f>
        <v>26.52</v>
      </c>
      <c r="AA53" s="108">
        <f t="shared" si="46"/>
        <v>4.250000000000001</v>
      </c>
      <c r="AB53" s="109">
        <f>IF(AC53&lt;&gt;"",VLOOKUP($B$20,'Grille IND'!$A$5:$F$653,6,FALSE),"")</f>
      </c>
      <c r="AC53" s="109">
        <f t="shared" si="47"/>
      </c>
      <c r="AO53" s="105" t="str">
        <f t="shared" si="9"/>
        <v>D</v>
      </c>
    </row>
    <row r="54" spans="1:41" ht="15">
      <c r="A54" s="348"/>
      <c r="C54" s="334"/>
      <c r="D54" s="133">
        <v>43065</v>
      </c>
      <c r="E54" s="210">
        <v>0.3333333333333333</v>
      </c>
      <c r="F54" s="213">
        <v>0.5069444444444444</v>
      </c>
      <c r="G54" s="213">
        <f t="shared" si="38"/>
        <v>0.1736111111111111</v>
      </c>
      <c r="H54" s="134">
        <f t="shared" si="39"/>
      </c>
      <c r="I54" s="214">
        <f t="shared" si="40"/>
      </c>
      <c r="J54" s="212">
        <f t="shared" si="48"/>
      </c>
      <c r="K54" s="138">
        <f t="shared" si="49"/>
      </c>
      <c r="L54" s="210">
        <f t="shared" si="50"/>
        <v>0.1736111111111111</v>
      </c>
      <c r="M54" s="135">
        <f aca="true" t="shared" si="51" ref="M54:M63">IF(L54="","",L54*24)</f>
        <v>4.166666666666666</v>
      </c>
      <c r="N54" s="271" t="str">
        <f>IF(AND(K54="",M54=""),"",IF(OR(SUM($O$45:$P$49,K$51:K54,M$51:M54)&lt;=25,AND(SUM($O$45:$P$49,K$50:K53,M$50:M53)&lt;=25,SUM($O$45:$P$49,K$51:K54,M$51:M54)&gt;25)),"O","N"))</f>
        <v>O</v>
      </c>
      <c r="O54" s="136">
        <f>IF(OR(N54="N",N54=""),"",IF(K54="","",IF((25-SUM(O$45:O53,P$45:P53))&gt;K54,K54,25-SUM(O$45:O53,P$45:P53))))</f>
      </c>
      <c r="P54" s="135">
        <f>IF(OR(N54="N",N54=""),"",IF(M54="","",IF(25-SUM($O$45:O54,$P$45:P53)&gt;M54,M54,25-SUM($O$45:O54,$P$45:P53))))</f>
        <v>4.166666666666666</v>
      </c>
      <c r="Q54" s="137">
        <f t="shared" si="41"/>
      </c>
      <c r="R54" s="135">
        <f t="shared" si="42"/>
      </c>
      <c r="S54" s="141">
        <f t="shared" si="43"/>
      </c>
      <c r="T54" s="31">
        <f>IF(N54="O",MAX(T$43:T53)+1,"")</f>
        <v>6</v>
      </c>
      <c r="U54" s="31">
        <f>IF(Q54="O",MAX(U$43:U53)+1,"")</f>
      </c>
      <c r="V54" s="106">
        <f>IF(W54&lt;&gt;"",VLOOKUP($B$20,'Grille IND'!$A$5:$F$653,3,FALSE),"")</f>
      </c>
      <c r="W54" s="106">
        <f t="shared" si="44"/>
      </c>
      <c r="X54" s="107">
        <f>IF(Y54&lt;&gt;"",VLOOKUP($B$20,'Grille IND'!$A$5:$F$653,4,FALSE),"")</f>
      </c>
      <c r="Y54" s="107">
        <f t="shared" si="45"/>
      </c>
      <c r="Z54" s="108">
        <f>IF(AA54&lt;&gt;"",VLOOKUP($B$20,'Grille IND'!$A$5:$F$653,5,FALSE),"")</f>
        <v>26.52</v>
      </c>
      <c r="AA54" s="108">
        <f t="shared" si="46"/>
        <v>4.166666666666666</v>
      </c>
      <c r="AB54" s="109">
        <f>IF(AC54&lt;&gt;"",VLOOKUP($B$20,'Grille IND'!$A$5:$F$653,6,FALSE),"")</f>
      </c>
      <c r="AC54" s="109">
        <f t="shared" si="47"/>
      </c>
      <c r="AO54" s="105" t="str">
        <f t="shared" si="9"/>
        <v>D</v>
      </c>
    </row>
    <row r="55" spans="1:41" ht="15">
      <c r="A55" s="348"/>
      <c r="C55" s="334"/>
      <c r="D55" s="133">
        <v>43060</v>
      </c>
      <c r="E55" s="210">
        <v>0.8333333333333334</v>
      </c>
      <c r="F55" s="213">
        <v>0.8819444444444445</v>
      </c>
      <c r="G55" s="213">
        <f t="shared" si="38"/>
        <v>0.04861111111111116</v>
      </c>
      <c r="H55" s="134">
        <f t="shared" si="39"/>
      </c>
      <c r="I55" s="213">
        <f t="shared" si="40"/>
      </c>
      <c r="J55" s="210">
        <f t="shared" si="48"/>
      </c>
      <c r="K55" s="135">
        <f t="shared" si="49"/>
      </c>
      <c r="L55" s="210">
        <f t="shared" si="50"/>
        <v>0.04861111111111116</v>
      </c>
      <c r="M55" s="135">
        <f t="shared" si="51"/>
        <v>1.1666666666666679</v>
      </c>
      <c r="N55" s="271" t="str">
        <f>IF(AND(K55="",M55=""),"",IF(OR(SUM($O$45:$P$49,K$51:K55,M$51:M55)&lt;=25,AND(SUM($O$45:$P$49,K$50:K54,M$50:M54)&lt;=25,SUM($O$45:$P$49,K$51:K55,M$51:M55)&gt;25)),"O","N"))</f>
        <v>O</v>
      </c>
      <c r="O55" s="136">
        <f>IF(OR(N55="N",N55=""),"",IF(K55="","",IF((25-SUM(O$45:O54,P$45:P54))&gt;K55,K55,25-SUM(O$45:O54,P$45:P54))))</f>
      </c>
      <c r="P55" s="135">
        <f>IF(OR(N55="N",N55=""),"",IF(M55="","",IF(25-SUM($O$45:O55,$P$45:P54)&gt;M55,M55,25-SUM($O$45:O55,$P$45:P54))))</f>
        <v>1.1666666666666679</v>
      </c>
      <c r="Q55" s="137">
        <f t="shared" si="41"/>
      </c>
      <c r="R55" s="135">
        <f t="shared" si="42"/>
      </c>
      <c r="S55" s="141">
        <f t="shared" si="43"/>
      </c>
      <c r="T55" s="31">
        <f>IF(N55="O",MAX(T$43:T54)+1,"")</f>
        <v>7</v>
      </c>
      <c r="U55" s="31">
        <f>IF(Q55="O",MAX(U$43:U54)+1,"")</f>
      </c>
      <c r="V55" s="106">
        <f>IF(W55&lt;&gt;"",VLOOKUP($B$20,'Grille IND'!$A$5:$F$653,3,FALSE),"")</f>
        <v>15.91</v>
      </c>
      <c r="W55" s="106">
        <f t="shared" si="44"/>
        <v>1.1666666666666679</v>
      </c>
      <c r="X55" s="107">
        <f>IF(Y55&lt;&gt;"",VLOOKUP($B$20,'Grille IND'!$A$5:$F$653,4,FALSE),"")</f>
      </c>
      <c r="Y55" s="107">
        <f t="shared" si="45"/>
      </c>
      <c r="Z55" s="108">
        <f>IF(AA55&lt;&gt;"",VLOOKUP($B$20,'Grille IND'!$A$5:$F$653,5,FALSE),"")</f>
      </c>
      <c r="AA55" s="108">
        <f t="shared" si="46"/>
      </c>
      <c r="AB55" s="109">
        <f>IF(AC55&lt;&gt;"",VLOOKUP($B$20,'Grille IND'!$A$5:$F$653,6,FALSE),"")</f>
      </c>
      <c r="AC55" s="109">
        <f t="shared" si="47"/>
      </c>
      <c r="AO55" s="105">
        <f t="shared" si="9"/>
      </c>
    </row>
    <row r="56" spans="1:41" ht="15">
      <c r="A56" s="348"/>
      <c r="C56" s="334"/>
      <c r="D56" s="133">
        <v>43061</v>
      </c>
      <c r="E56" s="210">
        <v>0.875</v>
      </c>
      <c r="F56" s="213">
        <v>0.9270833333333334</v>
      </c>
      <c r="G56" s="213">
        <f t="shared" si="38"/>
        <v>0.05208333333333337</v>
      </c>
      <c r="H56" s="134">
        <f t="shared" si="39"/>
      </c>
      <c r="I56" s="213">
        <f t="shared" si="40"/>
        <v>0.01041666666666674</v>
      </c>
      <c r="J56" s="210">
        <f t="shared" si="48"/>
        <v>0.01041666666666674</v>
      </c>
      <c r="K56" s="135">
        <f t="shared" si="49"/>
        <v>0.2500000000000018</v>
      </c>
      <c r="L56" s="210">
        <f t="shared" si="50"/>
        <v>0.04166666666666663</v>
      </c>
      <c r="M56" s="135">
        <f t="shared" si="51"/>
        <v>0.9999999999999991</v>
      </c>
      <c r="N56" s="271" t="str">
        <f>IF(AND(K56="",M56=""),"",IF(OR(SUM($O$45:$P$49,K$51:K56,M$51:M56)&lt;=25,AND(SUM($O$45:$P$49,K$50:K55,M$50:M55)&lt;=25,SUM($O$45:$P$49,K$51:K56,M$51:M56)&gt;25)),"O","N"))</f>
        <v>O</v>
      </c>
      <c r="O56" s="136">
        <f>IF(OR(N56="N",N56=""),"",IF(K56="","",IF((25-SUM(O$45:O55,P$45:P55))&gt;K56,K56,25-SUM(O$45:O55,P$45:P55))))</f>
        <v>0.2500000000000018</v>
      </c>
      <c r="P56" s="135">
        <f>IF(OR(N56="N",N56=""),"",IF(M56="","",IF(25-SUM($O$45:O56,$P$45:P55)&gt;M56,M56,25-SUM($O$45:O56,$P$45:P55))))</f>
        <v>0.283333333333335</v>
      </c>
      <c r="Q56" s="137" t="str">
        <f t="shared" si="41"/>
        <v>O</v>
      </c>
      <c r="R56" s="135">
        <f t="shared" si="42"/>
        <v>0</v>
      </c>
      <c r="S56" s="141">
        <f t="shared" si="43"/>
        <v>0.7166666666666641</v>
      </c>
      <c r="T56" s="31">
        <f>IF(N56="O",MAX(T$43:T55)+1,"")</f>
        <v>8</v>
      </c>
      <c r="U56" s="31">
        <f>IF(Q56="O",MAX(U$43:U55)+1,"")</f>
        <v>1</v>
      </c>
      <c r="V56" s="106">
        <f>IF(W56&lt;&gt;"",VLOOKUP($B$20,'Grille IND'!$A$5:$F$653,3,FALSE),"")</f>
        <v>15.91</v>
      </c>
      <c r="W56" s="106">
        <f t="shared" si="44"/>
        <v>0.283333333333335</v>
      </c>
      <c r="X56" s="107">
        <f>IF(Y56&lt;&gt;"",VLOOKUP($B$20,'Grille IND'!$A$5:$F$653,4,FALSE),"")</f>
      </c>
      <c r="Y56" s="107">
        <f t="shared" si="45"/>
      </c>
      <c r="Z56" s="108">
        <f>IF(AA56&lt;&gt;"",VLOOKUP($B$20,'Grille IND'!$A$5:$F$653,5,FALSE),"")</f>
      </c>
      <c r="AA56" s="108">
        <f t="shared" si="46"/>
      </c>
      <c r="AB56" s="109">
        <f>IF(AC56&lt;&gt;"",VLOOKUP($B$20,'Grille IND'!$A$5:$F$653,6,FALSE),"")</f>
        <v>31.82</v>
      </c>
      <c r="AC56" s="109">
        <f t="shared" si="47"/>
        <v>0.2500000000000018</v>
      </c>
      <c r="AO56" s="105">
        <f t="shared" si="9"/>
      </c>
    </row>
    <row r="57" spans="1:41" ht="15">
      <c r="A57" s="348"/>
      <c r="C57" s="334"/>
      <c r="D57" s="133">
        <v>43062</v>
      </c>
      <c r="E57" s="210">
        <v>0.9166666666666666</v>
      </c>
      <c r="F57" s="213">
        <v>0.9583333333333334</v>
      </c>
      <c r="G57" s="213">
        <f t="shared" si="38"/>
        <v>0.04166666666666674</v>
      </c>
      <c r="H57" s="213">
        <f t="shared" si="39"/>
      </c>
      <c r="I57" s="213">
        <f t="shared" si="40"/>
        <v>0.04166666666666674</v>
      </c>
      <c r="J57" s="210">
        <f t="shared" si="48"/>
        <v>0.04166666666666674</v>
      </c>
      <c r="K57" s="135">
        <f t="shared" si="49"/>
        <v>1.0000000000000018</v>
      </c>
      <c r="L57" s="210">
        <f t="shared" si="50"/>
        <v>0</v>
      </c>
      <c r="M57" s="135">
        <f t="shared" si="51"/>
        <v>0</v>
      </c>
      <c r="N57" s="271" t="str">
        <f>IF(AND(K57="",M57=""),"",IF(OR(SUM($O$45:$P$49,K$51:K57,M$51:M57)&lt;=25,AND(SUM($O$45:$P$49,K$50:K56,M$50:M56)&lt;=25,SUM($O$45:$P$49,K$51:K57,M$51:M57)&gt;25)),"O","N"))</f>
        <v>N</v>
      </c>
      <c r="O57" s="136">
        <f>IF(OR(N57="N",N57=""),"",IF(K57="","",IF((25-SUM(O$45:O56,P$45:P56))&gt;K57,K57,25-SUM(O$45:O56,P$45:P56))))</f>
      </c>
      <c r="P57" s="135">
        <f>IF(OR(N57="N",N57=""),"",IF(M57="","",IF(25-SUM($O$45:O57,$P$45:P56)&gt;M57,M57,25-SUM($O$45:O57,$P$45:P56))))</f>
      </c>
      <c r="Q57" s="137" t="str">
        <f t="shared" si="41"/>
        <v>O</v>
      </c>
      <c r="R57" s="135">
        <f t="shared" si="42"/>
        <v>1.0000000000000018</v>
      </c>
      <c r="S57" s="141">
        <f t="shared" si="43"/>
        <v>0</v>
      </c>
      <c r="T57" s="31">
        <f>IF(N57="O",MAX(T$43:T56)+1,"")</f>
      </c>
      <c r="U57" s="31">
        <f>IF(Q57="O",MAX(U$43:U56)+1,"")</f>
        <v>2</v>
      </c>
      <c r="V57" s="106">
        <f>IF(W57&lt;&gt;"",VLOOKUP($B$20,'Grille IND'!$A$5:$F$653,3,FALSE),"")</f>
      </c>
      <c r="W57" s="106">
        <f t="shared" si="44"/>
      </c>
      <c r="X57" s="107">
        <f>IF(Y57&lt;&gt;"",VLOOKUP($B$20,'Grille IND'!$A$5:$F$653,4,FALSE),"")</f>
      </c>
      <c r="Y57" s="107">
        <f t="shared" si="45"/>
      </c>
      <c r="Z57" s="108">
        <f>IF(AA57&lt;&gt;"",VLOOKUP($B$20,'Grille IND'!$A$5:$F$653,5,FALSE),"")</f>
      </c>
      <c r="AA57" s="108">
        <f t="shared" si="46"/>
      </c>
      <c r="AB57" s="109">
        <f>IF(AC57&lt;&gt;"",VLOOKUP($B$20,'Grille IND'!$A$5:$F$653,6,FALSE),"")</f>
      </c>
      <c r="AC57" s="109">
        <f t="shared" si="47"/>
      </c>
      <c r="AO57" s="105">
        <f t="shared" si="9"/>
      </c>
    </row>
    <row r="58" spans="1:41" ht="15">
      <c r="A58" s="348"/>
      <c r="C58" s="334"/>
      <c r="D58" s="133"/>
      <c r="E58" s="210"/>
      <c r="F58" s="213"/>
      <c r="G58" s="213">
        <f t="shared" si="38"/>
      </c>
      <c r="H58" s="213">
        <f t="shared" si="39"/>
      </c>
      <c r="I58" s="213">
        <f t="shared" si="40"/>
      </c>
      <c r="J58" s="210">
        <f t="shared" si="48"/>
      </c>
      <c r="K58" s="135">
        <f t="shared" si="49"/>
      </c>
      <c r="L58" s="210">
        <f t="shared" si="50"/>
      </c>
      <c r="M58" s="135">
        <f t="shared" si="51"/>
      </c>
      <c r="N58" s="271">
        <f>IF(AND(K58="",M58=""),"",IF(OR(SUM($O$45:$P$49,K$51:K58,M$51:M58)&lt;=25,AND(SUM($O$45:$P$49,K$50:K57,M$50:M57)&lt;=25,SUM($O$45:$P$49,K$51:K58,M$51:M58)&gt;25)),"O","N"))</f>
      </c>
      <c r="O58" s="136">
        <f>IF(OR(N58="N",N58=""),"",IF(K58="","",IF((25-SUM(O$45:O57,P$45:P57))&gt;K58,K58,25-SUM(O$45:O57,P$45:P57))))</f>
      </c>
      <c r="P58" s="135">
        <f>IF(OR(N58="N",N58=""),"",IF(M58="","",IF(25-SUM($O$45:O58,$P$45:P57)&gt;M58,M58,25-SUM($O$45:O58,$P$45:P57))))</f>
      </c>
      <c r="Q58" s="137">
        <f t="shared" si="41"/>
      </c>
      <c r="R58" s="135">
        <f t="shared" si="42"/>
      </c>
      <c r="S58" s="141">
        <f t="shared" si="43"/>
      </c>
      <c r="T58" s="31">
        <f>IF(N58="O",MAX(T$43:T57)+1,"")</f>
      </c>
      <c r="U58" s="31">
        <f>IF(Q58="O",MAX(U$43:U57)+1,"")</f>
      </c>
      <c r="V58" s="106">
        <f>IF(W58&lt;&gt;"",VLOOKUP($B$20,'Grille IND'!$A$5:$F$653,3,FALSE),"")</f>
      </c>
      <c r="W58" s="106">
        <f t="shared" si="44"/>
      </c>
      <c r="X58" s="107">
        <f>IF(Y58&lt;&gt;"",VLOOKUP($B$20,'Grille IND'!$A$5:$F$653,4,FALSE),"")</f>
      </c>
      <c r="Y58" s="107">
        <f t="shared" si="45"/>
      </c>
      <c r="Z58" s="108">
        <f>IF(AA58&lt;&gt;"",VLOOKUP($B$20,'Grille IND'!$A$5:$F$653,5,FALSE),"")</f>
      </c>
      <c r="AA58" s="108">
        <f t="shared" si="46"/>
      </c>
      <c r="AB58" s="109">
        <f>IF(AC58&lt;&gt;"",VLOOKUP($B$20,'Grille IND'!$A$5:$F$653,6,FALSE),"")</f>
      </c>
      <c r="AC58" s="109">
        <f t="shared" si="47"/>
      </c>
      <c r="AO58" s="105">
        <f t="shared" si="9"/>
      </c>
    </row>
    <row r="59" spans="1:41" ht="15">
      <c r="A59" s="348"/>
      <c r="C59" s="334"/>
      <c r="D59" s="133"/>
      <c r="E59" s="210"/>
      <c r="F59" s="213"/>
      <c r="G59" s="213">
        <f t="shared" si="38"/>
      </c>
      <c r="H59" s="213">
        <f t="shared" si="39"/>
      </c>
      <c r="I59" s="213">
        <f t="shared" si="40"/>
      </c>
      <c r="J59" s="210">
        <f t="shared" si="48"/>
      </c>
      <c r="K59" s="135">
        <f t="shared" si="49"/>
      </c>
      <c r="L59" s="210">
        <f t="shared" si="50"/>
      </c>
      <c r="M59" s="135">
        <f t="shared" si="51"/>
      </c>
      <c r="N59" s="271">
        <f>IF(AND(K59="",M59=""),"",IF(OR(SUM($O$45:$P$49,K$51:K59,M$51:M59)&lt;=25,AND(SUM($O$45:$P$49,K$50:K58,M$50:M58)&lt;=25,SUM($O$45:$P$49,K$51:K59,M$51:M59)&gt;25)),"O","N"))</f>
      </c>
      <c r="O59" s="136">
        <f>IF(OR(N59="N",N59=""),"",IF(K59="","",IF((25-SUM(O$45:O58,P$45:P58))&gt;K59,K59,25-SUM(O$45:O58,P$45:P58))))</f>
      </c>
      <c r="P59" s="135">
        <f>IF(OR(N59="N",N59=""),"",IF(M59="","",IF(25-SUM($O$45:O59,$P$45:P58)&gt;M59,M59,25-SUM($O$45:O59,$P$45:P58))))</f>
      </c>
      <c r="Q59" s="137">
        <f t="shared" si="41"/>
      </c>
      <c r="R59" s="135">
        <f t="shared" si="42"/>
      </c>
      <c r="S59" s="141">
        <f t="shared" si="43"/>
      </c>
      <c r="T59" s="31">
        <f>IF(N59="O",MAX(T$43:T58)+1,"")</f>
      </c>
      <c r="U59" s="31">
        <f>IF(Q59="O",MAX(U$43:U58)+1,"")</f>
      </c>
      <c r="V59" s="106">
        <f>IF(W59&lt;&gt;"",VLOOKUP($B$20,'Grille IND'!$A$5:$F$653,3,FALSE),"")</f>
      </c>
      <c r="W59" s="106">
        <f t="shared" si="44"/>
      </c>
      <c r="X59" s="107">
        <f>IF(Y59&lt;&gt;"",VLOOKUP($B$20,'Grille IND'!$A$5:$F$653,4,FALSE),"")</f>
      </c>
      <c r="Y59" s="107">
        <f t="shared" si="45"/>
      </c>
      <c r="Z59" s="108">
        <f>IF(AA59&lt;&gt;"",VLOOKUP($B$20,'Grille IND'!$A$5:$F$653,5,FALSE),"")</f>
      </c>
      <c r="AA59" s="108">
        <f t="shared" si="46"/>
      </c>
      <c r="AB59" s="109">
        <f>IF(AC59&lt;&gt;"",VLOOKUP($B$20,'Grille IND'!$A$5:$F$653,6,FALSE),"")</f>
      </c>
      <c r="AC59" s="109">
        <f t="shared" si="47"/>
      </c>
      <c r="AO59" s="105">
        <f t="shared" si="9"/>
      </c>
    </row>
    <row r="60" spans="1:41" ht="15">
      <c r="A60" s="348"/>
      <c r="C60" s="334"/>
      <c r="D60" s="133"/>
      <c r="E60" s="210"/>
      <c r="F60" s="213"/>
      <c r="G60" s="213">
        <f t="shared" si="38"/>
      </c>
      <c r="H60" s="213">
        <f t="shared" si="39"/>
      </c>
      <c r="I60" s="213">
        <f t="shared" si="40"/>
      </c>
      <c r="J60" s="210">
        <f t="shared" si="48"/>
      </c>
      <c r="K60" s="135">
        <f t="shared" si="49"/>
      </c>
      <c r="L60" s="210">
        <f t="shared" si="50"/>
      </c>
      <c r="M60" s="135">
        <f t="shared" si="51"/>
      </c>
      <c r="N60" s="271">
        <f>IF(AND(K60="",M60=""),"",IF(OR(SUM($O$45:$P$49,K$51:K60,M$51:M60)&lt;=25,AND(SUM($O$45:$P$49,K$50:K59,M$50:M59)&lt;=25,SUM($O$45:$P$49,K$51:K60,M$51:M60)&gt;25)),"O","N"))</f>
      </c>
      <c r="O60" s="136">
        <f>IF(OR(N60="N",N60=""),"",IF(K60="","",IF((25-SUM(O$45:O59,P$45:P59))&gt;K60,K60,25-SUM(O$45:O59,P$45:P59))))</f>
      </c>
      <c r="P60" s="135">
        <f>IF(OR(N60="N",N60=""),"",IF(M60="","",IF(25-SUM($O$45:O60,$P$45:P59)&gt;M60,M60,25-SUM($O$45:O60,$P$45:P59))))</f>
      </c>
      <c r="Q60" s="137">
        <f t="shared" si="41"/>
      </c>
      <c r="R60" s="135">
        <f t="shared" si="42"/>
      </c>
      <c r="S60" s="141">
        <f t="shared" si="43"/>
      </c>
      <c r="T60" s="31">
        <f>IF(N60="O",MAX(T$43:T59)+1,"")</f>
      </c>
      <c r="U60" s="31">
        <f>IF(Q60="O",MAX(U$43:U59)+1,"")</f>
      </c>
      <c r="V60" s="106">
        <f>IF(W60&lt;&gt;"",VLOOKUP($B$20,'Grille IND'!$A$5:$F$653,3,FALSE),"")</f>
      </c>
      <c r="W60" s="106">
        <f t="shared" si="44"/>
      </c>
      <c r="X60" s="107">
        <f>IF(Y60&lt;&gt;"",VLOOKUP($B$20,'Grille IND'!$A$5:$F$653,4,FALSE),"")</f>
      </c>
      <c r="Y60" s="107">
        <f t="shared" si="45"/>
      </c>
      <c r="Z60" s="108">
        <f>IF(AA60&lt;&gt;"",VLOOKUP($B$20,'Grille IND'!$A$5:$F$653,5,FALSE),"")</f>
      </c>
      <c r="AA60" s="108">
        <f t="shared" si="46"/>
      </c>
      <c r="AB60" s="109">
        <f>IF(AC60&lt;&gt;"",VLOOKUP($B$20,'Grille IND'!$A$5:$F$653,6,FALSE),"")</f>
      </c>
      <c r="AC60" s="109">
        <f t="shared" si="47"/>
      </c>
      <c r="AO60" s="105">
        <f t="shared" si="9"/>
      </c>
    </row>
    <row r="61" spans="1:41" ht="15">
      <c r="A61" s="348"/>
      <c r="C61" s="334"/>
      <c r="D61" s="133"/>
      <c r="E61" s="210"/>
      <c r="F61" s="213"/>
      <c r="G61" s="213">
        <f t="shared" si="38"/>
      </c>
      <c r="H61" s="213">
        <f t="shared" si="39"/>
      </c>
      <c r="I61" s="213">
        <f t="shared" si="40"/>
      </c>
      <c r="J61" s="210">
        <f t="shared" si="48"/>
      </c>
      <c r="K61" s="135">
        <f t="shared" si="49"/>
      </c>
      <c r="L61" s="210">
        <f t="shared" si="50"/>
      </c>
      <c r="M61" s="135">
        <f t="shared" si="51"/>
      </c>
      <c r="N61" s="271">
        <f>IF(AND(K61="",M61=""),"",IF(OR(SUM($O$45:$P$49,K$51:K61,M$51:M61)&lt;=25,AND(SUM($O$45:$P$49,K$50:K60,M$50:M60)&lt;=25,SUM($O$45:$P$49,K$51:K61,M$51:M61)&gt;25)),"O","N"))</f>
      </c>
      <c r="O61" s="136">
        <f>IF(OR(N61="N",N61=""),"",IF(K61="","",IF((25-SUM(O$45:O60,P$45:P60))&gt;K61,K61,25-SUM(O$45:O60,P$45:P60))))</f>
      </c>
      <c r="P61" s="135">
        <f>IF(OR(N61="N",N61=""),"",IF(M61="","",IF(25-SUM($O$45:O61,$P$45:P60)&gt;M61,M61,25-SUM($O$45:O61,$P$45:P60))))</f>
      </c>
      <c r="Q61" s="137">
        <f t="shared" si="41"/>
      </c>
      <c r="R61" s="135">
        <f t="shared" si="42"/>
      </c>
      <c r="S61" s="141">
        <f t="shared" si="43"/>
      </c>
      <c r="T61" s="31">
        <f>IF(N61="O",MAX(T$43:T60)+1,"")</f>
      </c>
      <c r="U61" s="31">
        <f>IF(Q61="O",MAX(U$43:U60)+1,"")</f>
      </c>
      <c r="V61" s="106">
        <f>IF(W61&lt;&gt;"",VLOOKUP($B$20,'Grille IND'!$A$5:$F$653,3,FALSE),"")</f>
      </c>
      <c r="W61" s="106">
        <f t="shared" si="44"/>
      </c>
      <c r="X61" s="107">
        <f>IF(Y61&lt;&gt;"",VLOOKUP($B$20,'Grille IND'!$A$5:$F$653,4,FALSE),"")</f>
      </c>
      <c r="Y61" s="107">
        <f t="shared" si="45"/>
      </c>
      <c r="Z61" s="108">
        <f>IF(AA61&lt;&gt;"",VLOOKUP($B$20,'Grille IND'!$A$5:$F$653,5,FALSE),"")</f>
      </c>
      <c r="AA61" s="108">
        <f t="shared" si="46"/>
      </c>
      <c r="AB61" s="109">
        <f>IF(AC61&lt;&gt;"",VLOOKUP($B$20,'Grille IND'!$A$5:$F$653,6,FALSE),"")</f>
      </c>
      <c r="AC61" s="109">
        <f t="shared" si="47"/>
      </c>
      <c r="AO61" s="105">
        <f t="shared" si="9"/>
      </c>
    </row>
    <row r="62" spans="1:41" ht="15">
      <c r="A62" s="348"/>
      <c r="C62" s="334"/>
      <c r="D62" s="133"/>
      <c r="E62" s="210"/>
      <c r="F62" s="213"/>
      <c r="G62" s="213">
        <f t="shared" si="38"/>
      </c>
      <c r="H62" s="213">
        <f t="shared" si="39"/>
      </c>
      <c r="I62" s="213">
        <f t="shared" si="40"/>
      </c>
      <c r="J62" s="210">
        <f t="shared" si="48"/>
      </c>
      <c r="K62" s="135">
        <f t="shared" si="49"/>
      </c>
      <c r="L62" s="210">
        <f t="shared" si="50"/>
      </c>
      <c r="M62" s="135">
        <f t="shared" si="51"/>
      </c>
      <c r="N62" s="271">
        <f>IF(AND(K62="",M62=""),"",IF(OR(SUM($O$45:$P$49,K$51:K62,M$51:M62)&lt;=25,AND(SUM($O$45:$P$49,K$50:K61,M$50:M61)&lt;=25,SUM($O$45:$P$49,K$51:K62,M$51:M62)&gt;25)),"O","N"))</f>
      </c>
      <c r="O62" s="136">
        <f>IF(OR(N62="N",N62=""),"",IF(K62="","",IF((25-SUM(O$45:O61,P$45:P61))&gt;K62,K62,25-SUM(O$45:O61,P$45:P61))))</f>
      </c>
      <c r="P62" s="135">
        <f>IF(OR(N62="N",N62=""),"",IF(M62="","",IF(25-SUM($O$45:O62,$P$45:P61)&gt;M62,M62,25-SUM($O$45:O62,$P$45:P61))))</f>
      </c>
      <c r="Q62" s="137">
        <f t="shared" si="41"/>
      </c>
      <c r="R62" s="135">
        <f t="shared" si="42"/>
      </c>
      <c r="S62" s="141">
        <f t="shared" si="43"/>
      </c>
      <c r="T62" s="31">
        <f>IF(N62="O",MAX(T$43:T61)+1,"")</f>
      </c>
      <c r="U62" s="31">
        <f>IF(Q62="O",MAX(U$43:U61)+1,"")</f>
      </c>
      <c r="V62" s="106">
        <f>IF(W62&lt;&gt;"",VLOOKUP($B$20,'Grille IND'!$A$5:$F$653,3,FALSE),"")</f>
      </c>
      <c r="W62" s="106">
        <f t="shared" si="44"/>
      </c>
      <c r="X62" s="107">
        <f>IF(Y62&lt;&gt;"",VLOOKUP($B$20,'Grille IND'!$A$5:$F$653,4,FALSE),"")</f>
      </c>
      <c r="Y62" s="107">
        <f t="shared" si="45"/>
      </c>
      <c r="Z62" s="108">
        <f>IF(AA62&lt;&gt;"",VLOOKUP($B$20,'Grille IND'!$A$5:$F$653,5,FALSE),"")</f>
      </c>
      <c r="AA62" s="108">
        <f t="shared" si="46"/>
      </c>
      <c r="AB62" s="109">
        <f>IF(AC62&lt;&gt;"",VLOOKUP($B$20,'Grille IND'!$A$5:$F$653,6,FALSE),"")</f>
      </c>
      <c r="AC62" s="109">
        <f t="shared" si="47"/>
      </c>
      <c r="AO62" s="105">
        <f t="shared" si="9"/>
      </c>
    </row>
    <row r="63" spans="1:41" ht="15">
      <c r="A63" s="348"/>
      <c r="C63" s="334"/>
      <c r="D63" s="133"/>
      <c r="E63" s="210"/>
      <c r="F63" s="213"/>
      <c r="G63" s="213">
        <f t="shared" si="38"/>
      </c>
      <c r="H63" s="213">
        <f t="shared" si="39"/>
      </c>
      <c r="I63" s="213">
        <f t="shared" si="40"/>
      </c>
      <c r="J63" s="210">
        <f t="shared" si="48"/>
      </c>
      <c r="K63" s="135">
        <f t="shared" si="49"/>
      </c>
      <c r="L63" s="210">
        <f t="shared" si="50"/>
      </c>
      <c r="M63" s="135">
        <f t="shared" si="51"/>
      </c>
      <c r="N63" s="271">
        <f>IF(AND(K63="",M63=""),"",IF(OR(SUM($O$45:$P$49,K$51:K63,M$51:M63)&lt;=25,AND(SUM($O$45:$P$49,K$50:K62,M$50:M62)&lt;=25,SUM($O$45:$P$49,K$51:K63,M$51:M63)&gt;25)),"O","N"))</f>
      </c>
      <c r="O63" s="136">
        <f>IF(OR(N63="N",N63=""),"",IF(K63="","",IF((25-SUM(O$45:O62,P$45:P62))&gt;K63,K63,25-SUM(O$45:O62,P$45:P62))))</f>
      </c>
      <c r="P63" s="135">
        <f>IF(OR(N63="N",N63=""),"",IF(M63="","",IF(25-SUM($O$45:O63,$P$45:P62)&gt;M63,M63,25-SUM($O$45:O63,$P$45:P62))))</f>
      </c>
      <c r="Q63" s="137">
        <f t="shared" si="41"/>
      </c>
      <c r="R63" s="135">
        <f t="shared" si="42"/>
      </c>
      <c r="S63" s="141">
        <f>IF(Q63="","",IF(AND(N63="O",Q63="O"),IF(M63="","",M63-P63),IF(N63="N",IF(M63="","",M63),"")))</f>
      </c>
      <c r="T63" s="31">
        <f>IF(N63="O",MAX(T$43:T62)+1,"")</f>
      </c>
      <c r="U63" s="31">
        <f>IF(Q63="O",MAX(U$43:U62)+1,"")</f>
      </c>
      <c r="V63" s="106">
        <f>IF(W63&lt;&gt;"",VLOOKUP($B$20,'Grille IND'!$A$5:$F$653,3,FALSE),"")</f>
      </c>
      <c r="W63" s="106">
        <f t="shared" si="44"/>
      </c>
      <c r="X63" s="107">
        <f>IF(Y63&lt;&gt;"",VLOOKUP($B$20,'Grille IND'!$A$5:$F$653,4,FALSE),"")</f>
      </c>
      <c r="Y63" s="107">
        <f t="shared" si="45"/>
      </c>
      <c r="Z63" s="108">
        <f>IF(AA63&lt;&gt;"",VLOOKUP($B$20,'Grille IND'!$A$5:$F$653,5,FALSE),"")</f>
      </c>
      <c r="AA63" s="108">
        <f t="shared" si="46"/>
      </c>
      <c r="AB63" s="109">
        <f>IF(AC63&lt;&gt;"",VLOOKUP($B$20,'Grille IND'!$A$5:$F$653,6,FALSE),"")</f>
      </c>
      <c r="AC63" s="109">
        <f t="shared" si="47"/>
      </c>
      <c r="AO63" s="105">
        <f t="shared" si="9"/>
      </c>
    </row>
    <row r="64" spans="1:41" ht="18" thickBot="1">
      <c r="A64" s="349"/>
      <c r="C64" s="353"/>
      <c r="D64" s="164"/>
      <c r="E64" s="208"/>
      <c r="F64" s="230"/>
      <c r="G64" s="230"/>
      <c r="H64" s="335" t="s">
        <v>29</v>
      </c>
      <c r="I64" s="335"/>
      <c r="J64" s="208">
        <f>SUM(J51:J60)</f>
        <v>0.10416666666666685</v>
      </c>
      <c r="K64" s="163">
        <f>SUM(K51:K60)</f>
        <v>2.5000000000000044</v>
      </c>
      <c r="L64" s="208">
        <f>SUM(L51:L60)</f>
        <v>0.8222222222222221</v>
      </c>
      <c r="M64" s="163">
        <f>SUM(M45:M63)</f>
        <v>26.066666666666666</v>
      </c>
      <c r="N64" s="170"/>
      <c r="O64" s="336">
        <f>SUM(O49:P63)</f>
        <v>20.51666666666667</v>
      </c>
      <c r="P64" s="336"/>
      <c r="Q64" s="177"/>
      <c r="R64" s="257">
        <f>SUM(R49:R63)</f>
        <v>1.0000000000000018</v>
      </c>
      <c r="S64" s="257">
        <f>SUM(S49:S63)</f>
        <v>0.7166666666666641</v>
      </c>
      <c r="V64" s="239"/>
      <c r="W64" s="239">
        <f>SUM(W45:W63)</f>
        <v>15.08333333333333</v>
      </c>
      <c r="X64" s="240"/>
      <c r="Y64" s="240">
        <f>SUM(Y45:Y63)</f>
        <v>0</v>
      </c>
      <c r="Z64" s="241"/>
      <c r="AA64" s="241">
        <f>SUM(AA45:AA63)</f>
        <v>8.416666666666668</v>
      </c>
      <c r="AB64" s="242"/>
      <c r="AC64" s="242">
        <f>SUM(AC45:AC63)</f>
        <v>1.5000000000000027</v>
      </c>
      <c r="AO64" s="105">
        <f t="shared" si="9"/>
      </c>
    </row>
    <row r="65" spans="1:41" ht="19.5" customHeight="1" thickBot="1">
      <c r="A65" s="179"/>
      <c r="B65" s="180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V65" s="239"/>
      <c r="W65" s="239">
        <f>SUMPRODUCT(V45:V63,W45:W63)</f>
        <v>239.9758333333333</v>
      </c>
      <c r="X65" s="240"/>
      <c r="Y65" s="240">
        <f>SUMPRODUCT(X45:X63,Y45:Y63)</f>
        <v>0</v>
      </c>
      <c r="Z65" s="241"/>
      <c r="AA65" s="241">
        <f>SUMPRODUCT(Z45:Z63,AA45:AA63)</f>
        <v>223.21</v>
      </c>
      <c r="AB65" s="242"/>
      <c r="AC65" s="242">
        <f>SUMPRODUCT(AB45:AB63,AC45:AC63)</f>
        <v>47.73000000000008</v>
      </c>
      <c r="AO65" s="105">
        <f t="shared" si="9"/>
      </c>
    </row>
    <row r="66" spans="1:41" ht="14.25" customHeight="1">
      <c r="A66" s="347" t="s">
        <v>162</v>
      </c>
      <c r="B66" s="181">
        <f>VLOOKUP($B$1,INFOS!A:AU,39,FALSE)</f>
        <v>457</v>
      </c>
      <c r="C66" s="338" t="s">
        <v>31</v>
      </c>
      <c r="D66" s="404" t="s">
        <v>170</v>
      </c>
      <c r="E66" s="400"/>
      <c r="F66" s="400"/>
      <c r="G66" s="400"/>
      <c r="H66" s="400"/>
      <c r="I66" s="400"/>
      <c r="J66" s="400"/>
      <c r="K66" s="400"/>
      <c r="L66" s="400"/>
      <c r="M66" s="401"/>
      <c r="N66" s="339" t="s">
        <v>32</v>
      </c>
      <c r="O66" s="340"/>
      <c r="P66" s="340"/>
      <c r="Q66" s="341"/>
      <c r="R66" s="345">
        <f>R64</f>
        <v>1.0000000000000018</v>
      </c>
      <c r="S66" s="331">
        <f>S64</f>
        <v>0.7166666666666641</v>
      </c>
      <c r="T66" s="31">
        <f>IF(N66="O",MAX(T$19:T65)+1,"")</f>
      </c>
      <c r="V66" s="34"/>
      <c r="X66" s="34"/>
      <c r="Y66" s="34"/>
      <c r="Z66" s="34"/>
      <c r="AA66" s="34"/>
      <c r="AB66" s="34"/>
      <c r="AC66" s="34"/>
      <c r="AO66" s="397"/>
    </row>
    <row r="67" spans="1:41" ht="15">
      <c r="A67" s="348"/>
      <c r="B67" s="182">
        <f>VLOOKUP($B$1,INFOS!A:AU,40,FALSE)</f>
        <v>1</v>
      </c>
      <c r="C67" s="338"/>
      <c r="D67" s="408"/>
      <c r="E67" s="408"/>
      <c r="F67" s="408"/>
      <c r="G67" s="408"/>
      <c r="H67" s="408"/>
      <c r="I67" s="408"/>
      <c r="J67" s="408"/>
      <c r="K67" s="408"/>
      <c r="L67" s="408"/>
      <c r="M67" s="409"/>
      <c r="N67" s="342"/>
      <c r="O67" s="343"/>
      <c r="P67" s="343"/>
      <c r="Q67" s="344"/>
      <c r="R67" s="346"/>
      <c r="S67" s="332"/>
      <c r="T67" s="31">
        <f>IF(N67="O",MAX(T$19:T66)+1,"")</f>
      </c>
      <c r="V67" s="34"/>
      <c r="X67" s="34"/>
      <c r="Y67" s="34"/>
      <c r="Z67" s="34"/>
      <c r="AA67" s="34"/>
      <c r="AB67" s="34"/>
      <c r="AC67" s="34"/>
      <c r="AO67" s="397"/>
    </row>
    <row r="68" spans="1:41" ht="15">
      <c r="A68" s="348"/>
      <c r="B68" s="350" t="str">
        <f>VLOOKUP($B$1,INFOS!A:AU,9,FALSE)</f>
        <v>Direction Générale des Services</v>
      </c>
      <c r="C68" s="338"/>
      <c r="D68" s="171">
        <f>IF(ROWS($D$68:D68)&lt;=MAX($U$45:$U$63),INDEX($D$45:$D$63,MATCH(ROWS($D$68:D68),$U$45:$U$63,0)),"")</f>
        <v>43061</v>
      </c>
      <c r="E68" s="209">
        <f aca="true" t="shared" si="52" ref="E68:M72">IF($D68&lt;&gt;"",_xlfn.IFERROR(VLOOKUP($D68,$D$51:$S$63,COLUMN(B$1),0),""),"")</f>
        <v>0.875</v>
      </c>
      <c r="F68" s="209">
        <f t="shared" si="52"/>
        <v>0.9270833333333334</v>
      </c>
      <c r="G68" s="209">
        <f t="shared" si="52"/>
        <v>0.05208333333333337</v>
      </c>
      <c r="H68" s="209">
        <f t="shared" si="52"/>
      </c>
      <c r="I68" s="209">
        <f t="shared" si="52"/>
        <v>0.01041666666666674</v>
      </c>
      <c r="J68" s="209">
        <f t="shared" si="52"/>
        <v>0.01041666666666674</v>
      </c>
      <c r="K68" s="160">
        <f t="shared" si="52"/>
        <v>0.2500000000000018</v>
      </c>
      <c r="L68" s="209">
        <f t="shared" si="52"/>
        <v>0.04166666666666663</v>
      </c>
      <c r="M68" s="160">
        <f t="shared" si="52"/>
        <v>0.9999999999999991</v>
      </c>
      <c r="N68" s="273" t="str">
        <f>IF(OR(O68&lt;&gt;"",P68&lt;&gt;""),"O","")</f>
        <v>O</v>
      </c>
      <c r="O68" s="274">
        <f aca="true" t="shared" si="53" ref="O68:P72">IF($D68&lt;&gt;"",_xlfn.IFERROR(VLOOKUP($D68,$D$51:$S$63,COLUMN(O$1),0),""),"")</f>
        <v>0</v>
      </c>
      <c r="P68" s="274">
        <f t="shared" si="53"/>
        <v>0.7166666666666641</v>
      </c>
      <c r="Q68" s="282"/>
      <c r="R68" s="282"/>
      <c r="S68" s="286"/>
      <c r="T68" s="31">
        <f>IF(N68="O",MAX(T$66:T67)+1,"")</f>
        <v>1</v>
      </c>
      <c r="U68" s="31">
        <f>IF(Q68="O",MAX(U$66:U67)+1,"")</f>
      </c>
      <c r="V68" s="106">
        <f>IF(W68&lt;&gt;"",VLOOKUP($B$20,'Grille IND'!$A$5:$F$653,3,FALSE),"")</f>
        <v>15.91</v>
      </c>
      <c r="W68" s="106">
        <f>IF(T68="","",IF(OR(AO68="D",AO68="F"),"",IF(OR(AND(N68="O",Q68="",P68&lt;=14),AND(N68="O",Q68="O",P68&lt;=14)),P68,14)))</f>
        <v>0.7166666666666641</v>
      </c>
      <c r="X68" s="107">
        <f>IF(Y68&lt;&gt;"",VLOOKUP($B$20,'Grille IND'!$A$5:$F$653,4,FALSE),"")</f>
      </c>
      <c r="Y68" s="107">
        <f>IF(T68="","",IF(OR(AO68="D",AO68="F"),"",IF(OR(AND(N68="O",Q68="",P68&gt;14),AND(N68="O",Q68="O",P68&gt;14)),P68-14,"")))</f>
      </c>
      <c r="Z68" s="108">
        <f>IF(AA68&lt;&gt;"",VLOOKUP($B$20,'Grille IND'!$A$5:$F$653,5,FALSE),"")</f>
      </c>
      <c r="AA68" s="108">
        <f>IF(T68="","",IF(OR(AND(OR(AO68="D",AO68="F"),N68="O",Q68=""),AND(OR(AO68="D",AO68="F"),N68="O",Q68="O")),P68,""))</f>
      </c>
      <c r="AB68" s="109">
        <f>IF(AC68&lt;&gt;"",VLOOKUP($B$20,'Grille IND'!$A$5:$F$653,6,FALSE),"")</f>
        <v>31.82</v>
      </c>
      <c r="AC68" s="109">
        <f>IF(T68="","",IF(O68="","",O68))</f>
        <v>0</v>
      </c>
      <c r="AO68" s="105">
        <f aca="true" t="shared" si="54" ref="AO67:AO130">IF(D68&lt;&gt;"",IF(AND(ISERROR(VLOOKUP(D68,Fériés,1,0)),WEEKDAY(D68,2)&lt;=6),"",IF(WEEKDAY(D68,2)&gt;6,"D",IF(VLOOKUP(D68,Fériés,1,0),"F",""))),"")</f>
      </c>
    </row>
    <row r="69" spans="1:41" ht="15">
      <c r="A69" s="348"/>
      <c r="B69" s="350"/>
      <c r="C69" s="338"/>
      <c r="D69" s="171">
        <f>IF(ROWS($D$68:D69)&lt;=MAX($U$45:$U$63),INDEX($D$45:$D$63,MATCH(ROWS($D$68:D69),$U$45:$U$63,0)),"")</f>
        <v>43062</v>
      </c>
      <c r="E69" s="209">
        <f t="shared" si="52"/>
        <v>0.9166666666666666</v>
      </c>
      <c r="F69" s="209">
        <f t="shared" si="52"/>
        <v>0.9583333333333334</v>
      </c>
      <c r="G69" s="209">
        <f t="shared" si="52"/>
        <v>0.04166666666666674</v>
      </c>
      <c r="H69" s="209">
        <f t="shared" si="52"/>
      </c>
      <c r="I69" s="209">
        <f t="shared" si="52"/>
        <v>0.04166666666666674</v>
      </c>
      <c r="J69" s="209">
        <f t="shared" si="52"/>
        <v>0.04166666666666674</v>
      </c>
      <c r="K69" s="160">
        <f t="shared" si="52"/>
        <v>1.0000000000000018</v>
      </c>
      <c r="L69" s="209">
        <f t="shared" si="52"/>
        <v>0</v>
      </c>
      <c r="M69" s="160">
        <f t="shared" si="52"/>
        <v>0</v>
      </c>
      <c r="N69" s="277" t="str">
        <f>IF(OR(O69&lt;&gt;"",P69&lt;&gt;""),"O","")</f>
        <v>O</v>
      </c>
      <c r="O69" s="279">
        <f t="shared" si="53"/>
        <v>1.0000000000000018</v>
      </c>
      <c r="P69" s="279">
        <f t="shared" si="53"/>
        <v>0</v>
      </c>
      <c r="Q69" s="285"/>
      <c r="R69" s="285"/>
      <c r="S69" s="287"/>
      <c r="T69" s="31">
        <f>IF(N69="O",MAX(T$66:T68)+1,"")</f>
        <v>2</v>
      </c>
      <c r="U69" s="31">
        <f>IF(Q69="O",MAX(U$66:U68)+1,"")</f>
      </c>
      <c r="V69" s="106">
        <f>IF(W69&lt;&gt;"",VLOOKUP($B$20,'Grille IND'!$A$5:$F$653,3,FALSE),"")</f>
        <v>15.91</v>
      </c>
      <c r="W69" s="106">
        <f>IF(T69="","",IF(OR(AO69="D",AO69="F"),"",IF(OR(AND(N69="O",Q69="",P69&lt;=14),AND(N69="O",Q69="O",P69&lt;=14)),P69,14)))</f>
        <v>0</v>
      </c>
      <c r="X69" s="107">
        <f>IF(Y69&lt;&gt;"",VLOOKUP($B$20,'Grille IND'!$A$5:$F$653,4,FALSE),"")</f>
      </c>
      <c r="Y69" s="107">
        <f>IF(T69="","",IF(OR(AO69="D",AO69="F"),"",IF(OR(AND(N69="O",Q69="",P69&gt;14),AND(N69="O",Q69="O",P69&gt;14)),P69-14,"")))</f>
      </c>
      <c r="Z69" s="108">
        <f>IF(AA69&lt;&gt;"",VLOOKUP($B$20,'Grille IND'!$A$5:$F$653,5,FALSE),"")</f>
      </c>
      <c r="AA69" s="108">
        <f>IF(T69="","",IF(OR(AND(OR(AO69="D",AO69="F"),N69="O",Q69=""),AND(OR(AO69="D",AO69="F"),N69="O",Q69="O")),P69,""))</f>
      </c>
      <c r="AB69" s="109">
        <f>IF(AC69&lt;&gt;"",VLOOKUP($B$20,'Grille IND'!$A$5:$F$653,6,FALSE),"")</f>
        <v>31.82</v>
      </c>
      <c r="AC69" s="109">
        <f>IF(T69="","",IF(O69="","",O69))</f>
        <v>1.0000000000000018</v>
      </c>
      <c r="AO69" s="105">
        <f t="shared" si="54"/>
      </c>
    </row>
    <row r="70" spans="1:41" ht="15">
      <c r="A70" s="348"/>
      <c r="B70" s="139"/>
      <c r="C70" s="338"/>
      <c r="D70" s="171">
        <f>IF(ROWS($D$68:D70)&lt;=MAX($U$45:$U$63),INDEX($D$45:$D$63,MATCH(ROWS($D$68:D70),$U$45:$U$63,0)),"")</f>
      </c>
      <c r="E70" s="209">
        <f t="shared" si="52"/>
      </c>
      <c r="F70" s="209">
        <f t="shared" si="52"/>
      </c>
      <c r="G70" s="209">
        <f t="shared" si="52"/>
      </c>
      <c r="H70" s="209">
        <f t="shared" si="52"/>
      </c>
      <c r="I70" s="209">
        <f t="shared" si="52"/>
      </c>
      <c r="J70" s="209">
        <f t="shared" si="52"/>
      </c>
      <c r="K70" s="160">
        <f t="shared" si="52"/>
      </c>
      <c r="L70" s="209">
        <f t="shared" si="52"/>
      </c>
      <c r="M70" s="160">
        <f t="shared" si="52"/>
      </c>
      <c r="N70" s="277">
        <f>IF(OR(O70&lt;&gt;"",P70&lt;&gt;""),"O","")</f>
      </c>
      <c r="O70" s="279">
        <f t="shared" si="53"/>
      </c>
      <c r="P70" s="279">
        <f t="shared" si="53"/>
      </c>
      <c r="Q70" s="285"/>
      <c r="R70" s="285"/>
      <c r="S70" s="287"/>
      <c r="T70" s="31">
        <f>IF(N70="O",MAX(T$66:T69)+1,"")</f>
      </c>
      <c r="U70" s="31">
        <f>IF(Q70="O",MAX(U$66:U69)+1,"")</f>
      </c>
      <c r="V70" s="106">
        <f>IF(W70&lt;&gt;"",VLOOKUP($B$20,'Grille IND'!$A$5:$F$653,3,FALSE),"")</f>
      </c>
      <c r="W70" s="106">
        <f>IF(T70="","",IF(OR(AO70="D",AO70="F"),"",IF(OR(AND(N70="O",Q70="",P70&lt;=14),AND(N70="O",Q70="O",P70&lt;=14)),P70,14)))</f>
      </c>
      <c r="X70" s="107">
        <f>IF(Y70&lt;&gt;"",VLOOKUP($B$20,'Grille IND'!$A$5:$F$653,4,FALSE),"")</f>
      </c>
      <c r="Y70" s="107">
        <f>IF(T70="","",IF(OR(AO70="D",AO70="F"),"",IF(OR(AND(N70="O",Q70="",P70&gt;14),AND(N70="O",Q70="O",P70&gt;14)),P70-14,"")))</f>
      </c>
      <c r="Z70" s="108">
        <f>IF(AA70&lt;&gt;"",VLOOKUP($B$20,'Grille IND'!$A$5:$F$653,5,FALSE),"")</f>
      </c>
      <c r="AA70" s="108">
        <f>IF(T70="","",IF(OR(AND(OR(AO70="D",AO70="F"),N70="O",Q70=""),AND(OR(AO70="D",AO70="F"),N70="O",Q70="O")),P70,""))</f>
      </c>
      <c r="AB70" s="109">
        <f>IF(AC70&lt;&gt;"",VLOOKUP($B$20,'Grille IND'!$A$5:$F$653,6,FALSE),"")</f>
      </c>
      <c r="AC70" s="109">
        <f>IF(T70="","",IF(O70="","",O70))</f>
      </c>
      <c r="AO70" s="105">
        <f t="shared" si="54"/>
      </c>
    </row>
    <row r="71" spans="1:41" ht="15">
      <c r="A71" s="348"/>
      <c r="B71" s="139"/>
      <c r="C71" s="338"/>
      <c r="D71" s="171">
        <f>IF(ROWS($D$68:D71)&lt;=MAX($U$45:$U$63),INDEX($D$45:$D$63,MATCH(ROWS($D$68:D71),$U$45:$U$63,0)),"")</f>
      </c>
      <c r="E71" s="209">
        <f t="shared" si="52"/>
      </c>
      <c r="F71" s="209">
        <f t="shared" si="52"/>
      </c>
      <c r="G71" s="209">
        <f t="shared" si="52"/>
      </c>
      <c r="H71" s="209">
        <f t="shared" si="52"/>
      </c>
      <c r="I71" s="209">
        <f t="shared" si="52"/>
      </c>
      <c r="J71" s="209">
        <f t="shared" si="52"/>
      </c>
      <c r="K71" s="160">
        <f t="shared" si="52"/>
      </c>
      <c r="L71" s="209">
        <f t="shared" si="52"/>
      </c>
      <c r="M71" s="160">
        <f t="shared" si="52"/>
      </c>
      <c r="N71" s="277">
        <f>IF(OR(O71&lt;&gt;"",P71&lt;&gt;""),"O","")</f>
      </c>
      <c r="O71" s="279">
        <f t="shared" si="53"/>
      </c>
      <c r="P71" s="279">
        <f t="shared" si="53"/>
      </c>
      <c r="Q71" s="285"/>
      <c r="R71" s="285"/>
      <c r="S71" s="287"/>
      <c r="T71" s="31">
        <f>IF(N71="O",MAX(T$66:T70)+1,"")</f>
      </c>
      <c r="U71" s="31">
        <f>IF(Q71="O",MAX(U$66:U70)+1,"")</f>
      </c>
      <c r="V71" s="106">
        <f>IF(W71&lt;&gt;"",VLOOKUP($B$20,'Grille IND'!$A$5:$F$653,3,FALSE),"")</f>
      </c>
      <c r="W71" s="106">
        <f>IF(T71="","",IF(OR(AO71="D",AO71="F"),"",IF(OR(AND(N71="O",Q71="",P71&lt;=14),AND(N71="O",Q71="O",P71&lt;=14)),P71,14)))</f>
      </c>
      <c r="X71" s="107">
        <f>IF(Y71&lt;&gt;"",VLOOKUP($B$20,'Grille IND'!$A$5:$F$653,4,FALSE),"")</f>
      </c>
      <c r="Y71" s="107">
        <f>IF(T71="","",IF(OR(AO71="D",AO71="F"),"",IF(OR(AND(N71="O",Q71="",P71&gt;14),AND(N71="O",Q71="O",P71&gt;14)),P71-14,"")))</f>
      </c>
      <c r="Z71" s="108">
        <f>IF(AA71&lt;&gt;"",VLOOKUP($B$20,'Grille IND'!$A$5:$F$653,5,FALSE),"")</f>
      </c>
      <c r="AA71" s="108">
        <f>IF(T71="","",IF(OR(AND(OR(AO71="D",AO71="F"),N71="O",Q71=""),AND(OR(AO71="D",AO71="F"),N71="O",Q71="O")),P71,""))</f>
      </c>
      <c r="AB71" s="109">
        <f>IF(AC71&lt;&gt;"",VLOOKUP($B$20,'Grille IND'!$A$5:$F$653,6,FALSE),"")</f>
      </c>
      <c r="AC71" s="109">
        <f>IF(T71="","",IF(O71="","",O71))</f>
      </c>
      <c r="AO71" s="105">
        <f t="shared" si="54"/>
      </c>
    </row>
    <row r="72" spans="1:41" ht="15">
      <c r="A72" s="348"/>
      <c r="B72" s="139"/>
      <c r="C72" s="338"/>
      <c r="D72" s="171">
        <f>IF(ROWS($D$68:D72)&lt;=MAX($U$45:$U$63),INDEX($D$45:$D$63,MATCH(ROWS($D$68:D72),$U$45:$U$63,0)),"")</f>
      </c>
      <c r="E72" s="209">
        <f t="shared" si="52"/>
      </c>
      <c r="F72" s="209">
        <f t="shared" si="52"/>
      </c>
      <c r="G72" s="209">
        <f t="shared" si="52"/>
      </c>
      <c r="H72" s="209">
        <f t="shared" si="52"/>
      </c>
      <c r="I72" s="209">
        <f t="shared" si="52"/>
      </c>
      <c r="J72" s="209">
        <f t="shared" si="52"/>
      </c>
      <c r="K72" s="160">
        <f t="shared" si="52"/>
      </c>
      <c r="L72" s="209">
        <f t="shared" si="52"/>
      </c>
      <c r="M72" s="160">
        <f t="shared" si="52"/>
      </c>
      <c r="N72" s="277">
        <f>IF(OR(O72&lt;&gt;"",P72&lt;&gt;""),"O","")</f>
      </c>
      <c r="O72" s="279">
        <f t="shared" si="53"/>
      </c>
      <c r="P72" s="279">
        <f t="shared" si="53"/>
      </c>
      <c r="Q72" s="285"/>
      <c r="R72" s="285"/>
      <c r="S72" s="287"/>
      <c r="T72" s="31">
        <f>IF(N72="O",MAX(T$66:T71)+1,"")</f>
      </c>
      <c r="U72" s="31">
        <f>IF(Q72="O",MAX(U$66:U71)+1,"")</f>
      </c>
      <c r="V72" s="106">
        <f>IF(W72&lt;&gt;"",VLOOKUP($B$20,'Grille IND'!$A$5:$F$653,3,FALSE),"")</f>
      </c>
      <c r="W72" s="106">
        <f>IF(T72="","",IF(OR(AO72="D",AO72="F"),"",IF(OR(AND(N72="O",Q72="",P72&lt;=14),AND(N72="O",Q72="O",P72&lt;=14)),P72,14)))</f>
      </c>
      <c r="X72" s="107">
        <f>IF(Y72&lt;&gt;"",VLOOKUP($B$20,'Grille IND'!$A$5:$F$653,4,FALSE),"")</f>
      </c>
      <c r="Y72" s="107">
        <f>IF(T72="","",IF(OR(AO72="D",AO72="F"),"",IF(OR(AND(N72="O",Q72="",P72&gt;14),AND(N72="O",Q72="O",P72&gt;14)),P72-14,"")))</f>
      </c>
      <c r="Z72" s="108">
        <f>IF(AA72&lt;&gt;"",VLOOKUP($B$20,'Grille IND'!$A$5:$F$653,5,FALSE),"")</f>
      </c>
      <c r="AA72" s="108">
        <f>IF(T72="","",IF(OR(AND(OR(AO72="D",AO72="F"),N72="O",Q72=""),AND(OR(AO72="D",AO72="F"),N72="O",Q72="O")),P72,""))</f>
      </c>
      <c r="AB72" s="109">
        <f>IF(AC72&lt;&gt;"",VLOOKUP($B$20,'Grille IND'!$A$5:$F$653,6,FALSE),"")</f>
      </c>
      <c r="AC72" s="109">
        <f>IF(T72="","",IF(O72="","",O72))</f>
      </c>
      <c r="AO72" s="105">
        <f t="shared" si="54"/>
      </c>
    </row>
    <row r="73" spans="1:41" ht="15">
      <c r="A73" s="348"/>
      <c r="B73" s="139"/>
      <c r="C73" s="338"/>
      <c r="D73" s="303">
        <f>IF(AND(K73="",M73=""),"",IF(OR(SUM(K$22:K73,M$22:M73)&lt;=25,AND(SUM(K$22:K73,M$22:M73)&lt;=25,SUM(K$22:K73,M$22:M73,M73,K73)&gt;25)),"O","N"))</f>
      </c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4"/>
      <c r="T73" s="31">
        <f>IF(D73="O",MAX(T$66:T72)+1,"")</f>
      </c>
      <c r="U73" s="31">
        <f>IF(Q73="O",MAX(U$66:U72)+1,"")</f>
      </c>
      <c r="V73" s="238"/>
      <c r="W73" s="238"/>
      <c r="X73" s="252"/>
      <c r="Y73" s="252"/>
      <c r="Z73" s="253"/>
      <c r="AA73" s="253"/>
      <c r="AB73" s="254"/>
      <c r="AC73" s="254"/>
      <c r="AO73" s="105">
        <f t="shared" si="54"/>
      </c>
    </row>
    <row r="74" spans="1:41" ht="15">
      <c r="A74" s="348"/>
      <c r="B74" s="139"/>
      <c r="C74" s="334" t="s">
        <v>27</v>
      </c>
      <c r="D74" s="133">
        <v>43102</v>
      </c>
      <c r="E74" s="210">
        <v>0.7152777777777778</v>
      </c>
      <c r="F74" s="213">
        <v>0.9270833333333334</v>
      </c>
      <c r="G74" s="213">
        <f aca="true" t="shared" si="55" ref="G74:G86">IF(AND(E74="",F74=""),"",MOD(F74-E74,1))</f>
        <v>0.21180555555555558</v>
      </c>
      <c r="H74" s="213">
        <f aca="true" t="shared" si="56" ref="H74:H86">IF(E74="","",IF($E74&lt;$AJ$3,$AJ$3-$E74,""))</f>
      </c>
      <c r="I74" s="213">
        <f aca="true" t="shared" si="57" ref="I74:I86">IF(F74="","",IF($F74&gt;$AK$3,$F74-$AK$3,""))</f>
        <v>0.01041666666666674</v>
      </c>
      <c r="J74" s="210">
        <f aca="true" t="shared" si="58" ref="J74:J86">IF(AND(H74="",I74=""),"",SUM(H74,I74))</f>
        <v>0.01041666666666674</v>
      </c>
      <c r="K74" s="135">
        <f aca="true" t="shared" si="59" ref="K74:K86">IF(J74="","",J74*24)</f>
        <v>0.2500000000000018</v>
      </c>
      <c r="L74" s="210">
        <f>IF(AND(E74="",F74=""),"",IF(J74&lt;&gt;"",G74-J74,G74))</f>
        <v>0.20138888888888884</v>
      </c>
      <c r="M74" s="135">
        <f aca="true" t="shared" si="60" ref="M74:M86">IF(L74="","",L74*24)</f>
        <v>4.833333333333332</v>
      </c>
      <c r="N74" s="271" t="str">
        <f>IF(AND(K74="",M74=""),"",IF(OR(SUM($O$68:$P$72,K$74:K74,M$74:M74)&lt;=25,AND(SUM($O$68:$P$72,K$73:K73,M$73:M73)&lt;=25,SUM($O$68:$P$72,K$74:K74,M$74:M74)&gt;25)),"O","N"))</f>
        <v>O</v>
      </c>
      <c r="O74" s="136">
        <f>IF(OR(N74="N",N74=""),"",IF(K74="","",IF((25-SUM(O$68:O73,P$68:P73))&gt;K74,K74,25-SUM(O$68:O73,P$68:P73))))</f>
        <v>0.2500000000000018</v>
      </c>
      <c r="P74" s="135">
        <f>IF(OR(N74="N",N74=""),"",IF(M74="","",IF(25-SUM($O$68:O74,$P$68:P73)&gt;M74,M74,25-SUM($O$68:O74,$P$68:P73))))</f>
        <v>4.833333333333332</v>
      </c>
      <c r="Q74" s="137">
        <f aca="true" t="shared" si="61" ref="Q74:Q86">IF(AND(N74="O",SUM(O74,P74)=SUM(K74,M74)),"",IF(AND(N74="O",SUM(O74,P74)&lt;SUM(K74,M74)),"O",IF(N74="N","O","")))</f>
      </c>
      <c r="R74" s="135">
        <f aca="true" t="shared" si="62" ref="R74:R86">IF(Q74="","",IF(AND(N74="O",Q74="O"),IF(K74="","",K74-O74),IF(N74="N",IF(K74="","",K74),"")))</f>
      </c>
      <c r="S74" s="141">
        <f aca="true" t="shared" si="63" ref="S74:S86">IF(Q74="","",IF(AND(N74="O",Q74="O"),IF(M74="","",M74-P74),IF(N74="N",IF(M74="","",M74),"")))</f>
      </c>
      <c r="T74" s="31">
        <f>IF(N74="O",MAX(T$66:T73)+1,"")</f>
        <v>3</v>
      </c>
      <c r="U74" s="31">
        <f>IF(Q74="O",MAX(U$66:U73)+1,"")</f>
      </c>
      <c r="V74" s="106">
        <f>IF(W74&lt;&gt;"",VLOOKUP($B$20,'Grille IND'!$A$5:$F$653,3,FALSE),"")</f>
        <v>15.91</v>
      </c>
      <c r="W74" s="106">
        <f aca="true" t="shared" si="64" ref="W74:W86">IF(T74="","",IF(OR(AO74="D",AO74="F"),"",IF(OR(AND(N74="O",Q74="",P74&lt;=14),AND(N74="O",Q74="O",P74&lt;=14)),P74,14)))</f>
        <v>4.833333333333332</v>
      </c>
      <c r="X74" s="107">
        <f>IF(Y74&lt;&gt;"",VLOOKUP($B$20,'Grille IND'!$A$5:$F$653,4,FALSE),"")</f>
      </c>
      <c r="Y74" s="107">
        <f aca="true" t="shared" si="65" ref="Y74:Y86">IF(T74="","",IF(OR(AO74="D",AO74="F"),"",IF(OR(AND(N74="O",Q74="",P74&gt;14),AND(N74="O",Q74="O",P74&gt;14)),P74-14,"")))</f>
      </c>
      <c r="Z74" s="108">
        <f>IF(AA74&lt;&gt;"",VLOOKUP($B$20,'Grille IND'!$A$5:$F$653,5,FALSE),"")</f>
      </c>
      <c r="AA74" s="108">
        <f aca="true" t="shared" si="66" ref="AA74:AA86">IF(T74="","",IF(OR(AND(OR(AO74="D",AO74="F"),N74="O",Q74=""),AND(OR(AO74="D",AO74="F"),N74="O",Q74="O")),P74,""))</f>
      </c>
      <c r="AB74" s="109">
        <f>IF(AC74&lt;&gt;"",VLOOKUP($B$20,'Grille IND'!$A$5:$F$653,6,FALSE),"")</f>
        <v>31.82</v>
      </c>
      <c r="AC74" s="109">
        <f aca="true" t="shared" si="67" ref="AC74:AC86">IF(T74="","",IF(O74="","",O74))</f>
        <v>0.2500000000000018</v>
      </c>
      <c r="AO74" s="105">
        <f t="shared" si="54"/>
      </c>
    </row>
    <row r="75" spans="1:41" ht="15">
      <c r="A75" s="348"/>
      <c r="B75" s="139"/>
      <c r="C75" s="334"/>
      <c r="D75" s="133">
        <v>43103</v>
      </c>
      <c r="E75" s="210">
        <v>0.7083333333333334</v>
      </c>
      <c r="F75" s="213">
        <v>0.96875</v>
      </c>
      <c r="G75" s="213">
        <f t="shared" si="55"/>
        <v>0.26041666666666663</v>
      </c>
      <c r="H75" s="213">
        <f t="shared" si="56"/>
      </c>
      <c r="I75" s="213">
        <f t="shared" si="57"/>
        <v>0.05208333333333337</v>
      </c>
      <c r="J75" s="210">
        <f t="shared" si="58"/>
        <v>0.05208333333333337</v>
      </c>
      <c r="K75" s="135">
        <f t="shared" si="59"/>
        <v>1.2500000000000009</v>
      </c>
      <c r="L75" s="210">
        <f aca="true" t="shared" si="68" ref="L75:L86">IF(AND(E75="",F75=""),"",IF(J75&lt;&gt;"",G75-J75,G75))</f>
        <v>0.20833333333333326</v>
      </c>
      <c r="M75" s="135">
        <f t="shared" si="60"/>
        <v>4.999999999999998</v>
      </c>
      <c r="N75" s="271" t="str">
        <f>IF(AND(K75="",M75=""),"",IF(OR(SUM($O$68:$P$72,K$74:K75,M$74:M75)&lt;=25,AND(SUM($O$68:$P$72,K$73:K74,M$73:M74)&lt;=25,SUM($O$68:$P$72,K$74:K75,M$74:M75)&gt;25)),"O","N"))</f>
        <v>O</v>
      </c>
      <c r="O75" s="136">
        <f>IF(OR(N75="N",N75=""),"",IF(K75="","",IF((25-SUM(O$68:O74,P$68:P74))&gt;K75,K75,25-SUM(O$68:O74,P$68:P74))))</f>
        <v>1.2500000000000009</v>
      </c>
      <c r="P75" s="135">
        <f>IF(OR(N75="N",N75=""),"",IF(M75="","",IF(25-SUM($O$68:O75,$P$68:P74)&gt;M75,M75,25-SUM($O$68:O75,$P$68:P74))))</f>
        <v>4.999999999999998</v>
      </c>
      <c r="Q75" s="137">
        <f t="shared" si="61"/>
      </c>
      <c r="R75" s="135">
        <f t="shared" si="62"/>
      </c>
      <c r="S75" s="141">
        <f t="shared" si="63"/>
      </c>
      <c r="T75" s="31">
        <f>IF(N75="O",MAX(T$66:T74)+1,"")</f>
        <v>4</v>
      </c>
      <c r="U75" s="31">
        <f>IF(Q75="O",MAX(U$66:U74)+1,"")</f>
      </c>
      <c r="V75" s="106">
        <f>IF(W75&lt;&gt;"",VLOOKUP($B$20,'Grille IND'!$A$5:$F$653,3,FALSE),"")</f>
        <v>15.91</v>
      </c>
      <c r="W75" s="106">
        <f t="shared" si="64"/>
        <v>4.999999999999998</v>
      </c>
      <c r="X75" s="107">
        <f>IF(Y75&lt;&gt;"",VLOOKUP($B$20,'Grille IND'!$A$5:$F$653,4,FALSE),"")</f>
      </c>
      <c r="Y75" s="107">
        <f t="shared" si="65"/>
      </c>
      <c r="Z75" s="108">
        <f>IF(AA75&lt;&gt;"",VLOOKUP($B$20,'Grille IND'!$A$5:$F$653,5,FALSE),"")</f>
      </c>
      <c r="AA75" s="108">
        <f t="shared" si="66"/>
      </c>
      <c r="AB75" s="109">
        <f>IF(AC75&lt;&gt;"",VLOOKUP($B$20,'Grille IND'!$A$5:$F$653,6,FALSE),"")</f>
        <v>31.82</v>
      </c>
      <c r="AC75" s="109">
        <f t="shared" si="67"/>
        <v>1.2500000000000009</v>
      </c>
      <c r="AO75" s="105">
        <f t="shared" si="54"/>
      </c>
    </row>
    <row r="76" spans="1:41" ht="15">
      <c r="A76" s="348"/>
      <c r="B76" s="139"/>
      <c r="C76" s="334"/>
      <c r="D76" s="133">
        <v>43110</v>
      </c>
      <c r="E76" s="210">
        <v>0.3506944444444444</v>
      </c>
      <c r="F76" s="213">
        <v>0.5520833333333334</v>
      </c>
      <c r="G76" s="213">
        <f t="shared" si="55"/>
        <v>0.20138888888888895</v>
      </c>
      <c r="H76" s="213">
        <f t="shared" si="56"/>
      </c>
      <c r="I76" s="213">
        <f t="shared" si="57"/>
      </c>
      <c r="J76" s="210">
        <f t="shared" si="58"/>
      </c>
      <c r="K76" s="135">
        <f t="shared" si="59"/>
      </c>
      <c r="L76" s="210">
        <f t="shared" si="68"/>
        <v>0.20138888888888895</v>
      </c>
      <c r="M76" s="135">
        <f t="shared" si="60"/>
        <v>4.833333333333335</v>
      </c>
      <c r="N76" s="271" t="str">
        <f>IF(AND(K76="",M76=""),"",IF(OR(SUM($O$68:$P$72,K$74:K76,M$74:M76)&lt;=25,AND(SUM($O$68:$P$72,K$73:K75,M$73:M75)&lt;=25,SUM($O$68:$P$72,K$74:K76,M$74:M76)&gt;25)),"O","N"))</f>
        <v>O</v>
      </c>
      <c r="O76" s="136">
        <f>IF(OR(N76="N",N76=""),"",IF(K76="","",IF((25-SUM(O$68:O75,P$68:P75))&gt;K76,K76,25-SUM(O$68:O75,P$68:P75))))</f>
      </c>
      <c r="P76" s="135">
        <f>IF(OR(N76="N",N76=""),"",IF(M76="","",IF(25-SUM($O$68:O76,$P$68:P75)&gt;M76,M76,25-SUM($O$68:O76,$P$68:P75))))</f>
        <v>4.833333333333335</v>
      </c>
      <c r="Q76" s="137">
        <f t="shared" si="61"/>
      </c>
      <c r="R76" s="135">
        <f t="shared" si="62"/>
      </c>
      <c r="S76" s="141">
        <f t="shared" si="63"/>
      </c>
      <c r="T76" s="31">
        <f>IF(N76="O",MAX(T$66:T75)+1,"")</f>
        <v>5</v>
      </c>
      <c r="U76" s="31">
        <f>IF(Q76="O",MAX(U$66:U75)+1,"")</f>
      </c>
      <c r="V76" s="106">
        <f>IF(W76&lt;&gt;"",VLOOKUP($B$20,'Grille IND'!$A$5:$F$653,3,FALSE),"")</f>
        <v>15.91</v>
      </c>
      <c r="W76" s="106">
        <f t="shared" si="64"/>
        <v>4.833333333333335</v>
      </c>
      <c r="X76" s="107">
        <f>IF(Y76&lt;&gt;"",VLOOKUP($B$20,'Grille IND'!$A$5:$F$653,4,FALSE),"")</f>
      </c>
      <c r="Y76" s="107">
        <f t="shared" si="65"/>
      </c>
      <c r="Z76" s="108">
        <f>IF(AA76&lt;&gt;"",VLOOKUP($B$20,'Grille IND'!$A$5:$F$653,5,FALSE),"")</f>
      </c>
      <c r="AA76" s="108">
        <f t="shared" si="66"/>
      </c>
      <c r="AB76" s="109">
        <f>IF(AC76&lt;&gt;"",VLOOKUP($B$20,'Grille IND'!$A$5:$F$653,6,FALSE),"")</f>
      </c>
      <c r="AC76" s="109">
        <f t="shared" si="67"/>
      </c>
      <c r="AO76" s="105">
        <f t="shared" si="54"/>
      </c>
    </row>
    <row r="77" spans="1:41" ht="15">
      <c r="A77" s="348"/>
      <c r="B77" s="139"/>
      <c r="C77" s="334"/>
      <c r="D77" s="133">
        <v>43115</v>
      </c>
      <c r="E77" s="210">
        <v>0.3333333333333333</v>
      </c>
      <c r="F77" s="213">
        <v>0.5069444444444444</v>
      </c>
      <c r="G77" s="213">
        <f t="shared" si="55"/>
        <v>0.1736111111111111</v>
      </c>
      <c r="H77" s="213">
        <f t="shared" si="56"/>
      </c>
      <c r="I77" s="213">
        <f t="shared" si="57"/>
      </c>
      <c r="J77" s="210">
        <f t="shared" si="58"/>
      </c>
      <c r="K77" s="135">
        <f t="shared" si="59"/>
      </c>
      <c r="L77" s="210">
        <f t="shared" si="68"/>
        <v>0.1736111111111111</v>
      </c>
      <c r="M77" s="135">
        <f t="shared" si="60"/>
        <v>4.166666666666666</v>
      </c>
      <c r="N77" s="271" t="str">
        <f>IF(AND(K77="",M77=""),"",IF(OR(SUM($O$68:$P$72,K$74:K77,M$74:M77)&lt;=25,AND(SUM($O$68:$P$72,K$73:K76,M$73:M76)&lt;=25,SUM($O$68:$P$72,K$74:K77,M$74:M77)&gt;25)),"O","N"))</f>
        <v>O</v>
      </c>
      <c r="O77" s="136">
        <f>IF(OR(N77="N",N77=""),"",IF(K77="","",IF((25-SUM(O$68:O76,P$68:P76))&gt;K77,K77,25-SUM(O$68:O76,P$68:P76))))</f>
      </c>
      <c r="P77" s="135">
        <f>IF(OR(N77="N",N77=""),"",IF(M77="","",IF(25-SUM($O$68:O77,$P$68:P76)&gt;M77,M77,25-SUM($O$68:O77,$P$68:P76))))</f>
        <v>4.166666666666666</v>
      </c>
      <c r="Q77" s="137">
        <f t="shared" si="61"/>
      </c>
      <c r="R77" s="135">
        <f t="shared" si="62"/>
      </c>
      <c r="S77" s="141">
        <f t="shared" si="63"/>
      </c>
      <c r="T77" s="31">
        <f>IF(N77="O",MAX(T$66:T76)+1,"")</f>
        <v>6</v>
      </c>
      <c r="U77" s="31">
        <f>IF(Q77="O",MAX(U$66:U76)+1,"")</f>
      </c>
      <c r="V77" s="106">
        <f>IF(W77&lt;&gt;"",VLOOKUP($B$20,'Grille IND'!$A$5:$F$653,3,FALSE),"")</f>
        <v>15.91</v>
      </c>
      <c r="W77" s="106">
        <f t="shared" si="64"/>
        <v>4.166666666666666</v>
      </c>
      <c r="X77" s="107">
        <f>IF(Y77&lt;&gt;"",VLOOKUP($B$20,'Grille IND'!$A$5:$F$653,4,FALSE),"")</f>
      </c>
      <c r="Y77" s="107">
        <f t="shared" si="65"/>
      </c>
      <c r="Z77" s="108">
        <f>IF(AA77&lt;&gt;"",VLOOKUP($B$20,'Grille IND'!$A$5:$F$653,5,FALSE),"")</f>
      </c>
      <c r="AA77" s="108">
        <f t="shared" si="66"/>
      </c>
      <c r="AB77" s="109">
        <f>IF(AC77&lt;&gt;"",VLOOKUP($B$20,'Grille IND'!$A$5:$F$653,6,FALSE),"")</f>
      </c>
      <c r="AC77" s="109">
        <f t="shared" si="67"/>
      </c>
      <c r="AO77" s="105">
        <f t="shared" si="54"/>
      </c>
    </row>
    <row r="78" spans="1:41" ht="15">
      <c r="A78" s="348"/>
      <c r="B78" s="139"/>
      <c r="C78" s="334"/>
      <c r="D78" s="133">
        <v>43122</v>
      </c>
      <c r="E78" s="210">
        <v>0.7916666666666666</v>
      </c>
      <c r="F78" s="213">
        <v>0.90625</v>
      </c>
      <c r="G78" s="213">
        <f t="shared" si="55"/>
        <v>0.11458333333333337</v>
      </c>
      <c r="H78" s="213">
        <f t="shared" si="56"/>
      </c>
      <c r="I78" s="213">
        <f t="shared" si="57"/>
      </c>
      <c r="J78" s="210">
        <f t="shared" si="58"/>
      </c>
      <c r="K78" s="135">
        <f t="shared" si="59"/>
      </c>
      <c r="L78" s="210">
        <f t="shared" si="68"/>
        <v>0.11458333333333337</v>
      </c>
      <c r="M78" s="135">
        <f t="shared" si="60"/>
        <v>2.750000000000001</v>
      </c>
      <c r="N78" s="271" t="str">
        <f>IF(AND(K78="",M78=""),"",IF(OR(SUM($O$68:$P$72,K$74:K78,M$74:M78)&lt;=25,AND(SUM($O$68:$P$72,K$73:K77,M$73:M77)&lt;=25,SUM($O$68:$P$72,K$74:K78,M$74:M78)&gt;25)),"O","N"))</f>
        <v>O</v>
      </c>
      <c r="O78" s="136">
        <f>IF(OR(N78="N",N78=""),"",IF(K78="","",IF((25-SUM(O$68:O77,P$68:P77))&gt;K78,K78,25-SUM(O$68:O77,P$68:P77))))</f>
      </c>
      <c r="P78" s="135">
        <f>IF(OR(N78="N",N78=""),"",IF(M78="","",IF(25-SUM($O$68:O78,$P$68:P77)&gt;M78,M78,25-SUM($O$68:O78,$P$68:P77))))</f>
        <v>2.750000000000001</v>
      </c>
      <c r="Q78" s="137">
        <f t="shared" si="61"/>
      </c>
      <c r="R78" s="135">
        <f t="shared" si="62"/>
      </c>
      <c r="S78" s="141">
        <f t="shared" si="63"/>
      </c>
      <c r="T78" s="31">
        <f>IF(N78="O",MAX(T$66:T77)+1,"")</f>
        <v>7</v>
      </c>
      <c r="U78" s="31">
        <f>IF(Q78="O",MAX(U$66:U77)+1,"")</f>
      </c>
      <c r="V78" s="106">
        <f>IF(W78&lt;&gt;"",VLOOKUP($B$20,'Grille IND'!$A$5:$F$653,3,FALSE),"")</f>
        <v>15.91</v>
      </c>
      <c r="W78" s="106">
        <f t="shared" si="64"/>
        <v>2.750000000000001</v>
      </c>
      <c r="X78" s="107">
        <f>IF(Y78&lt;&gt;"",VLOOKUP($B$20,'Grille IND'!$A$5:$F$653,4,FALSE),"")</f>
      </c>
      <c r="Y78" s="107">
        <f t="shared" si="65"/>
      </c>
      <c r="Z78" s="108">
        <f>IF(AA78&lt;&gt;"",VLOOKUP($B$20,'Grille IND'!$A$5:$F$653,5,FALSE),"")</f>
      </c>
      <c r="AA78" s="108">
        <f t="shared" si="66"/>
      </c>
      <c r="AB78" s="109">
        <f>IF(AC78&lt;&gt;"",VLOOKUP($B$20,'Grille IND'!$A$5:$F$653,6,FALSE),"")</f>
      </c>
      <c r="AC78" s="109">
        <f t="shared" si="67"/>
      </c>
      <c r="AO78" s="105">
        <f t="shared" si="54"/>
      </c>
    </row>
    <row r="79" spans="1:41" ht="15">
      <c r="A79" s="348"/>
      <c r="B79" s="139"/>
      <c r="C79" s="334"/>
      <c r="D79" s="133">
        <v>43125</v>
      </c>
      <c r="E79" s="210">
        <v>0.4166666666666667</v>
      </c>
      <c r="F79" s="213">
        <v>0.5416666666666666</v>
      </c>
      <c r="G79" s="213">
        <f t="shared" si="55"/>
        <v>0.12499999999999994</v>
      </c>
      <c r="H79" s="213">
        <f t="shared" si="56"/>
      </c>
      <c r="I79" s="213">
        <f t="shared" si="57"/>
      </c>
      <c r="J79" s="210">
        <f t="shared" si="58"/>
      </c>
      <c r="K79" s="135">
        <f t="shared" si="59"/>
      </c>
      <c r="L79" s="210">
        <f t="shared" si="68"/>
        <v>0.12499999999999994</v>
      </c>
      <c r="M79" s="135">
        <f t="shared" si="60"/>
        <v>2.9999999999999987</v>
      </c>
      <c r="N79" s="271" t="str">
        <f>IF(AND(K79="",M79=""),"",IF(OR(SUM($O$68:$P$72,K$74:K79,M$74:M79)&lt;=25,AND(SUM($O$68:$P$72,K$73:K78,M$73:M78)&lt;=25,SUM($O$68:$P$72,K$74:K79,M$74:M79)&gt;25)),"O","N"))</f>
        <v>O</v>
      </c>
      <c r="O79" s="136">
        <f>IF(OR(N79="N",N79=""),"",IF(K79="","",IF((25-SUM(O$68:O78,P$68:P78))&gt;K79,K79,25-SUM(O$68:O78,P$68:P78))))</f>
      </c>
      <c r="P79" s="135">
        <f>IF(OR(N79="N",N79=""),"",IF(M79="","",IF(25-SUM($O$68:O79,$P$68:P78)&gt;M79,M79,25-SUM($O$68:O79,$P$68:P78))))</f>
        <v>0.20000000000000284</v>
      </c>
      <c r="Q79" s="137" t="str">
        <f t="shared" si="61"/>
        <v>O</v>
      </c>
      <c r="R79" s="135">
        <f t="shared" si="62"/>
      </c>
      <c r="S79" s="141">
        <f t="shared" si="63"/>
        <v>2.799999999999996</v>
      </c>
      <c r="T79" s="31">
        <f>IF(N79="O",MAX(T$66:T78)+1,"")</f>
        <v>8</v>
      </c>
      <c r="U79" s="31">
        <f>IF(Q79="O",MAX(U$66:U78)+1,"")</f>
        <v>1</v>
      </c>
      <c r="V79" s="106">
        <f>IF(W79&lt;&gt;"",VLOOKUP($B$20,'Grille IND'!$A$5:$F$653,3,FALSE),"")</f>
        <v>15.91</v>
      </c>
      <c r="W79" s="106">
        <f t="shared" si="64"/>
        <v>0.20000000000000284</v>
      </c>
      <c r="X79" s="107">
        <f>IF(Y79&lt;&gt;"",VLOOKUP($B$20,'Grille IND'!$A$5:$F$653,4,FALSE),"")</f>
      </c>
      <c r="Y79" s="107">
        <f t="shared" si="65"/>
      </c>
      <c r="Z79" s="108">
        <f>IF(AA79&lt;&gt;"",VLOOKUP($B$20,'Grille IND'!$A$5:$F$653,5,FALSE),"")</f>
      </c>
      <c r="AA79" s="108">
        <f t="shared" si="66"/>
      </c>
      <c r="AB79" s="109">
        <f>IF(AC79&lt;&gt;"",VLOOKUP($B$20,'Grille IND'!$A$5:$F$653,6,FALSE),"")</f>
      </c>
      <c r="AC79" s="109">
        <f t="shared" si="67"/>
      </c>
      <c r="AO79" s="105">
        <f t="shared" si="54"/>
      </c>
    </row>
    <row r="80" spans="1:41" ht="15">
      <c r="A80" s="348"/>
      <c r="B80" s="139"/>
      <c r="C80" s="334"/>
      <c r="D80" s="133">
        <v>43126</v>
      </c>
      <c r="E80" s="210">
        <v>0.8958333333333334</v>
      </c>
      <c r="F80" s="213">
        <v>0.9375</v>
      </c>
      <c r="G80" s="213">
        <f t="shared" si="55"/>
        <v>0.04166666666666663</v>
      </c>
      <c r="H80" s="213">
        <f t="shared" si="56"/>
      </c>
      <c r="I80" s="213">
        <f t="shared" si="57"/>
        <v>0.02083333333333337</v>
      </c>
      <c r="J80" s="210">
        <f t="shared" si="58"/>
        <v>0.02083333333333337</v>
      </c>
      <c r="K80" s="135">
        <f t="shared" si="59"/>
        <v>0.5000000000000009</v>
      </c>
      <c r="L80" s="210">
        <f t="shared" si="68"/>
        <v>0.02083333333333326</v>
      </c>
      <c r="M80" s="135">
        <f t="shared" si="60"/>
        <v>0.4999999999999982</v>
      </c>
      <c r="N80" s="271" t="str">
        <f>IF(AND(K80="",M80=""),"",IF(OR(SUM($O$68:$P$72,K$74:K80,M$74:M80)&lt;=25,AND(SUM($O$68:$P$72,K$73:K79,M$73:M79)&lt;=25,SUM($O$68:$P$72,K$74:K80,M$74:M80)&gt;25)),"O","N"))</f>
        <v>N</v>
      </c>
      <c r="O80" s="136">
        <f>IF(OR(N80="N",N80=""),"",IF(K80="","",IF((25-SUM(O$68:O79,P$68:P79))&gt;K80,K80,25-SUM(O$68:O79,P$68:P79))))</f>
      </c>
      <c r="P80" s="169">
        <f>IF(OR(N80="N",N80=""),"",IF(M80="","",IF(25-SUM($O$68:O80,$P$68:P79)&gt;M80,M80,25-SUM($O$68:O80,$P$68:P79))))</f>
      </c>
      <c r="Q80" s="137" t="str">
        <f t="shared" si="61"/>
        <v>O</v>
      </c>
      <c r="R80" s="135">
        <f t="shared" si="62"/>
        <v>0.5000000000000009</v>
      </c>
      <c r="S80" s="141">
        <f t="shared" si="63"/>
        <v>0.4999999999999982</v>
      </c>
      <c r="T80" s="31">
        <f>IF(N80="O",MAX(T$66:T79)+1,"")</f>
      </c>
      <c r="U80" s="31">
        <f>IF(Q80="O",MAX(U$66:U79)+1,"")</f>
        <v>2</v>
      </c>
      <c r="V80" s="106">
        <f>IF(W80&lt;&gt;"",VLOOKUP($B$20,'Grille IND'!$A$5:$F$653,3,FALSE),"")</f>
      </c>
      <c r="W80" s="106">
        <f t="shared" si="64"/>
      </c>
      <c r="X80" s="107">
        <f>IF(Y80&lt;&gt;"",VLOOKUP($B$20,'Grille IND'!$A$5:$F$653,4,FALSE),"")</f>
      </c>
      <c r="Y80" s="107">
        <f t="shared" si="65"/>
      </c>
      <c r="Z80" s="108">
        <f>IF(AA80&lt;&gt;"",VLOOKUP($B$20,'Grille IND'!$A$5:$F$653,5,FALSE),"")</f>
      </c>
      <c r="AA80" s="108">
        <f t="shared" si="66"/>
      </c>
      <c r="AB80" s="109">
        <f>IF(AC80&lt;&gt;"",VLOOKUP($B$20,'Grille IND'!$A$5:$F$653,6,FALSE),"")</f>
      </c>
      <c r="AC80" s="109">
        <f t="shared" si="67"/>
      </c>
      <c r="AO80" s="105">
        <f t="shared" si="54"/>
      </c>
    </row>
    <row r="81" spans="1:41" ht="15">
      <c r="A81" s="348"/>
      <c r="B81" s="139"/>
      <c r="C81" s="334"/>
      <c r="D81" s="133"/>
      <c r="E81" s="210"/>
      <c r="F81" s="213"/>
      <c r="G81" s="213">
        <f t="shared" si="55"/>
      </c>
      <c r="H81" s="213">
        <f t="shared" si="56"/>
      </c>
      <c r="I81" s="213">
        <f t="shared" si="57"/>
      </c>
      <c r="J81" s="210">
        <f t="shared" si="58"/>
      </c>
      <c r="K81" s="135">
        <f t="shared" si="59"/>
      </c>
      <c r="L81" s="210">
        <f t="shared" si="68"/>
      </c>
      <c r="M81" s="135">
        <f t="shared" si="60"/>
      </c>
      <c r="N81" s="271">
        <f>IF(AND(K81="",M81=""),"",IF(OR(SUM($O$68:$P$72,K$74:K81,M$74:M81)&lt;=25,AND(SUM($O$68:$P$72,K$73:K80,M$73:M80)&lt;=25,SUM($O$68:$P$72,K$74:K81,M$74:M81)&gt;25)),"O","N"))</f>
      </c>
      <c r="O81" s="136">
        <f>IF(OR(N81="N",N81=""),"",IF(K81="","",IF((25-SUM(O$68:O80,P$68:P80))&gt;K81,K81,25-SUM(O$68:O80,P$68:P80))))</f>
      </c>
      <c r="P81" s="169">
        <f>IF(OR(N81="N",N81=""),"",IF(M81="","",IF(25-SUM($O$68:O81,$P$68:P80)&gt;M81,M81,25-SUM($O$68:O81,$P$68:P80))))</f>
      </c>
      <c r="Q81" s="137">
        <f t="shared" si="61"/>
      </c>
      <c r="R81" s="135">
        <f t="shared" si="62"/>
      </c>
      <c r="S81" s="141">
        <f t="shared" si="63"/>
      </c>
      <c r="T81" s="31">
        <f>IF(N81="O",MAX(T$66:T80)+1,"")</f>
      </c>
      <c r="U81" s="31">
        <f>IF(Q81="O",MAX(U$66:U80)+1,"")</f>
      </c>
      <c r="V81" s="106">
        <f>IF(W81&lt;&gt;"",VLOOKUP($B$20,'Grille IND'!$A$5:$F$653,3,FALSE),"")</f>
      </c>
      <c r="W81" s="106">
        <f t="shared" si="64"/>
      </c>
      <c r="X81" s="107">
        <f>IF(Y81&lt;&gt;"",VLOOKUP($B$20,'Grille IND'!$A$5:$F$653,4,FALSE),"")</f>
      </c>
      <c r="Y81" s="107">
        <f t="shared" si="65"/>
      </c>
      <c r="Z81" s="108">
        <f>IF(AA81&lt;&gt;"",VLOOKUP($B$20,'Grille IND'!$A$5:$F$653,5,FALSE),"")</f>
      </c>
      <c r="AA81" s="108">
        <f t="shared" si="66"/>
      </c>
      <c r="AB81" s="109">
        <f>IF(AC81&lt;&gt;"",VLOOKUP($B$20,'Grille IND'!$A$5:$F$653,6,FALSE),"")</f>
      </c>
      <c r="AC81" s="109">
        <f t="shared" si="67"/>
      </c>
      <c r="AO81" s="105">
        <f t="shared" si="54"/>
      </c>
    </row>
    <row r="82" spans="1:41" ht="15">
      <c r="A82" s="348"/>
      <c r="B82" s="139"/>
      <c r="C82" s="334"/>
      <c r="D82" s="133"/>
      <c r="E82" s="210"/>
      <c r="F82" s="213"/>
      <c r="G82" s="213">
        <f t="shared" si="55"/>
      </c>
      <c r="H82" s="213">
        <f t="shared" si="56"/>
      </c>
      <c r="I82" s="213">
        <f t="shared" si="57"/>
      </c>
      <c r="J82" s="210">
        <f t="shared" si="58"/>
      </c>
      <c r="K82" s="135">
        <f t="shared" si="59"/>
      </c>
      <c r="L82" s="210">
        <f t="shared" si="68"/>
      </c>
      <c r="M82" s="135">
        <f t="shared" si="60"/>
      </c>
      <c r="N82" s="271">
        <f>IF(AND(K82="",M82=""),"",IF(OR(SUM($O$68:$P$72,K$74:K82,M$74:M82)&lt;=25,AND(SUM($O$68:$P$72,K$73:K81,M$73:M81)&lt;=25,SUM($O$68:$P$72,K$74:K82,M$74:M82)&gt;25)),"O","N"))</f>
      </c>
      <c r="O82" s="136">
        <f>IF(OR(N82="N",N82=""),"",IF(K82="","",IF((25-SUM(O$68:O81,P$68:P81))&gt;K82,K82,25-SUM(O$68:O81,P$68:P81))))</f>
      </c>
      <c r="P82" s="169">
        <f>IF(OR(N82="N",N82=""),"",IF(M82="","",IF(25-SUM($O$68:O82,$P$68:P81)&gt;M82,M82,25-SUM($O$68:O82,$P$68:P81))))</f>
      </c>
      <c r="Q82" s="137">
        <f t="shared" si="61"/>
      </c>
      <c r="R82" s="135">
        <f t="shared" si="62"/>
      </c>
      <c r="S82" s="141">
        <f t="shared" si="63"/>
      </c>
      <c r="T82" s="31">
        <f>IF(N82="O",MAX(T$66:T81)+1,"")</f>
      </c>
      <c r="U82" s="31">
        <f>IF(Q82="O",MAX(U$66:U81)+1,"")</f>
      </c>
      <c r="V82" s="106">
        <f>IF(W82&lt;&gt;"",VLOOKUP($B$20,'Grille IND'!$A$5:$F$653,3,FALSE),"")</f>
      </c>
      <c r="W82" s="106">
        <f t="shared" si="64"/>
      </c>
      <c r="X82" s="107">
        <f>IF(Y82&lt;&gt;"",VLOOKUP($B$20,'Grille IND'!$A$5:$F$653,4,FALSE),"")</f>
      </c>
      <c r="Y82" s="107">
        <f t="shared" si="65"/>
      </c>
      <c r="Z82" s="108">
        <f>IF(AA82&lt;&gt;"",VLOOKUP($B$20,'Grille IND'!$A$5:$F$653,5,FALSE),"")</f>
      </c>
      <c r="AA82" s="108">
        <f t="shared" si="66"/>
      </c>
      <c r="AB82" s="109">
        <f>IF(AC82&lt;&gt;"",VLOOKUP($B$20,'Grille IND'!$A$5:$F$653,6,FALSE),"")</f>
      </c>
      <c r="AC82" s="109">
        <f t="shared" si="67"/>
      </c>
      <c r="AO82" s="105">
        <f t="shared" si="54"/>
      </c>
    </row>
    <row r="83" spans="1:41" ht="15">
      <c r="A83" s="348"/>
      <c r="B83" s="139"/>
      <c r="C83" s="334"/>
      <c r="D83" s="133"/>
      <c r="E83" s="210"/>
      <c r="F83" s="213"/>
      <c r="G83" s="213">
        <f t="shared" si="55"/>
      </c>
      <c r="H83" s="213">
        <f t="shared" si="56"/>
      </c>
      <c r="I83" s="213">
        <f t="shared" si="57"/>
      </c>
      <c r="J83" s="210">
        <f t="shared" si="58"/>
      </c>
      <c r="K83" s="135">
        <f t="shared" si="59"/>
      </c>
      <c r="L83" s="210">
        <f t="shared" si="68"/>
      </c>
      <c r="M83" s="135">
        <f t="shared" si="60"/>
      </c>
      <c r="N83" s="271">
        <f>IF(AND(K83="",M83=""),"",IF(OR(SUM($O$68:$P$72,K$74:K83,M$74:M83)&lt;=25,AND(SUM($O$68:$P$72,K$73:K82,M$73:M82)&lt;=25,SUM($O$68:$P$72,K$74:K83,M$74:M83)&gt;25)),"O","N"))</f>
      </c>
      <c r="O83" s="136">
        <f>IF(OR(N83="N",N83=""),"",IF(K83="","",IF((25-SUM(O$68:O82,P$68:P82))&gt;K83,K83,25-SUM(O$68:O82,P$68:P82))))</f>
      </c>
      <c r="P83" s="169">
        <f>IF(OR(N83="N",N83=""),"",IF(M83="","",IF(25-SUM($O$68:O83,$P$68:P82)&gt;M83,M83,25-SUM($O$68:O83,$P$68:P82))))</f>
      </c>
      <c r="Q83" s="137">
        <f t="shared" si="61"/>
      </c>
      <c r="R83" s="135">
        <f t="shared" si="62"/>
      </c>
      <c r="S83" s="141">
        <f t="shared" si="63"/>
      </c>
      <c r="T83" s="31">
        <f>IF(N83="O",MAX(T$66:T82)+1,"")</f>
      </c>
      <c r="U83" s="31">
        <f>IF(Q83="O",MAX(U$66:U82)+1,"")</f>
      </c>
      <c r="V83" s="106">
        <f>IF(W83&lt;&gt;"",VLOOKUP($B$20,'Grille IND'!$A$5:$F$653,3,FALSE),"")</f>
      </c>
      <c r="W83" s="106">
        <f t="shared" si="64"/>
      </c>
      <c r="X83" s="107">
        <f>IF(Y83&lt;&gt;"",VLOOKUP($B$20,'Grille IND'!$A$5:$F$653,4,FALSE),"")</f>
      </c>
      <c r="Y83" s="107">
        <f t="shared" si="65"/>
      </c>
      <c r="Z83" s="108">
        <f>IF(AA83&lt;&gt;"",VLOOKUP($B$20,'Grille IND'!$A$5:$F$653,5,FALSE),"")</f>
      </c>
      <c r="AA83" s="108">
        <f t="shared" si="66"/>
      </c>
      <c r="AB83" s="109">
        <f>IF(AC83&lt;&gt;"",VLOOKUP($B$20,'Grille IND'!$A$5:$F$653,6,FALSE),"")</f>
      </c>
      <c r="AC83" s="109">
        <f t="shared" si="67"/>
      </c>
      <c r="AO83" s="105">
        <f t="shared" si="54"/>
      </c>
    </row>
    <row r="84" spans="1:41" ht="15">
      <c r="A84" s="348"/>
      <c r="B84" s="139"/>
      <c r="C84" s="334"/>
      <c r="D84" s="133"/>
      <c r="E84" s="210"/>
      <c r="F84" s="213"/>
      <c r="G84" s="213">
        <f t="shared" si="55"/>
      </c>
      <c r="H84" s="213">
        <f t="shared" si="56"/>
      </c>
      <c r="I84" s="213">
        <f t="shared" si="57"/>
      </c>
      <c r="J84" s="210">
        <f t="shared" si="58"/>
      </c>
      <c r="K84" s="135">
        <f t="shared" si="59"/>
      </c>
      <c r="L84" s="210">
        <f t="shared" si="68"/>
      </c>
      <c r="M84" s="135">
        <f t="shared" si="60"/>
      </c>
      <c r="N84" s="271">
        <f>IF(AND(K84="",M84=""),"",IF(OR(SUM($O$68:$P$72,K$74:K84,M$74:M84)&lt;=25,AND(SUM($O$68:$P$72,K$73:K83,M$73:M83)&lt;=25,SUM($O$68:$P$72,K$74:K84,M$74:M84)&gt;25)),"O","N"))</f>
      </c>
      <c r="O84" s="136">
        <f>IF(OR(N84="N",N84=""),"",IF(K84="","",IF((25-SUM(O$68:O83,P$68:P83))&gt;K84,K84,25-SUM(O$68:O83,P$68:P83))))</f>
      </c>
      <c r="P84" s="169">
        <f>IF(OR(N84="N",N84=""),"",IF(M84="","",IF(25-SUM($O$68:O84,$P$68:P83)&gt;M84,M84,25-SUM($O$68:O84,$P$68:P83))))</f>
      </c>
      <c r="Q84" s="137">
        <f t="shared" si="61"/>
      </c>
      <c r="R84" s="135">
        <f t="shared" si="62"/>
      </c>
      <c r="S84" s="141">
        <f t="shared" si="63"/>
      </c>
      <c r="T84" s="31">
        <f>IF(N84="O",MAX(T$66:T83)+1,"")</f>
      </c>
      <c r="U84" s="31">
        <f>IF(Q84="O",MAX(U$66:U83)+1,"")</f>
      </c>
      <c r="V84" s="106">
        <f>IF(W84&lt;&gt;"",VLOOKUP($B$20,'Grille IND'!$A$5:$F$653,3,FALSE),"")</f>
      </c>
      <c r="W84" s="106">
        <f t="shared" si="64"/>
      </c>
      <c r="X84" s="107">
        <f>IF(Y84&lt;&gt;"",VLOOKUP($B$20,'Grille IND'!$A$5:$F$653,4,FALSE),"")</f>
      </c>
      <c r="Y84" s="107">
        <f t="shared" si="65"/>
      </c>
      <c r="Z84" s="108">
        <f>IF(AA84&lt;&gt;"",VLOOKUP($B$20,'Grille IND'!$A$5:$F$653,5,FALSE),"")</f>
      </c>
      <c r="AA84" s="108">
        <f t="shared" si="66"/>
      </c>
      <c r="AB84" s="109">
        <f>IF(AC84&lt;&gt;"",VLOOKUP($B$20,'Grille IND'!$A$5:$F$653,6,FALSE),"")</f>
      </c>
      <c r="AC84" s="109">
        <f t="shared" si="67"/>
      </c>
      <c r="AO84" s="105">
        <f t="shared" si="54"/>
      </c>
    </row>
    <row r="85" spans="1:41" ht="15">
      <c r="A85" s="348"/>
      <c r="B85" s="139"/>
      <c r="C85" s="334"/>
      <c r="D85" s="133"/>
      <c r="E85" s="210"/>
      <c r="F85" s="213"/>
      <c r="G85" s="213">
        <f t="shared" si="55"/>
      </c>
      <c r="H85" s="213">
        <f t="shared" si="56"/>
      </c>
      <c r="I85" s="213">
        <f t="shared" si="57"/>
      </c>
      <c r="J85" s="210">
        <f t="shared" si="58"/>
      </c>
      <c r="K85" s="135">
        <f t="shared" si="59"/>
      </c>
      <c r="L85" s="210">
        <f t="shared" si="68"/>
      </c>
      <c r="M85" s="135">
        <f t="shared" si="60"/>
      </c>
      <c r="N85" s="271">
        <f>IF(AND(K85="",M85=""),"",IF(OR(SUM($O$68:$P$72,K$74:K85,M$74:M85)&lt;=25,AND(SUM($O$68:$P$72,K$73:K84,M$73:M84)&lt;=25,SUM($O$68:$P$72,K$74:K85,M$74:M85)&gt;25)),"O","N"))</f>
      </c>
      <c r="O85" s="136">
        <f>IF(OR(N85="N",N85=""),"",IF(K85="","",IF((25-SUM(O$68:O84,P$68:P84))&gt;K85,K85,25-SUM(O$68:O84,P$68:P84))))</f>
      </c>
      <c r="P85" s="169">
        <f>IF(OR(N85="N",N85=""),"",IF(M85="","",IF(25-SUM($O$68:O85,$P$68:P84)&gt;M85,M85,25-SUM($O$68:O85,$P$68:P84))))</f>
      </c>
      <c r="Q85" s="137">
        <f t="shared" si="61"/>
      </c>
      <c r="R85" s="135">
        <f t="shared" si="62"/>
      </c>
      <c r="S85" s="141">
        <f t="shared" si="63"/>
      </c>
      <c r="T85" s="31">
        <f>IF(N85="O",MAX(T$66:T84)+1,"")</f>
      </c>
      <c r="U85" s="31">
        <f>IF(Q85="O",MAX(U$66:U84)+1,"")</f>
      </c>
      <c r="V85" s="106">
        <f>IF(W85&lt;&gt;"",VLOOKUP($B$20,'Grille IND'!$A$5:$F$653,3,FALSE),"")</f>
      </c>
      <c r="W85" s="106">
        <f t="shared" si="64"/>
      </c>
      <c r="X85" s="107">
        <f>IF(Y85&lt;&gt;"",VLOOKUP($B$20,'Grille IND'!$A$5:$F$653,4,FALSE),"")</f>
      </c>
      <c r="Y85" s="107">
        <f t="shared" si="65"/>
      </c>
      <c r="Z85" s="108">
        <f>IF(AA85&lt;&gt;"",VLOOKUP($B$20,'Grille IND'!$A$5:$F$653,5,FALSE),"")</f>
      </c>
      <c r="AA85" s="108">
        <f t="shared" si="66"/>
      </c>
      <c r="AB85" s="109">
        <f>IF(AC85&lt;&gt;"",VLOOKUP($B$20,'Grille IND'!$A$5:$F$653,6,FALSE),"")</f>
      </c>
      <c r="AC85" s="109">
        <f t="shared" si="67"/>
      </c>
      <c r="AO85" s="105">
        <f t="shared" si="54"/>
      </c>
    </row>
    <row r="86" spans="1:41" ht="15">
      <c r="A86" s="348"/>
      <c r="B86" s="139"/>
      <c r="C86" s="334"/>
      <c r="D86" s="133"/>
      <c r="E86" s="210"/>
      <c r="F86" s="213"/>
      <c r="G86" s="213">
        <f t="shared" si="55"/>
      </c>
      <c r="H86" s="213">
        <f t="shared" si="56"/>
      </c>
      <c r="I86" s="213">
        <f t="shared" si="57"/>
      </c>
      <c r="J86" s="210">
        <f t="shared" si="58"/>
      </c>
      <c r="K86" s="135">
        <f t="shared" si="59"/>
      </c>
      <c r="L86" s="210">
        <f t="shared" si="68"/>
      </c>
      <c r="M86" s="135">
        <f t="shared" si="60"/>
      </c>
      <c r="N86" s="271">
        <f>IF(AND(K86="",M86=""),"",IF(OR(SUM($O$68:$P$72,K$74:K86,M$74:M86)&lt;=25,AND(SUM($O$68:$P$72,K$73:K85,M$73:M85)&lt;=25,SUM($O$68:$P$72,K$74:K86,M$74:M86)&gt;25)),"O","N"))</f>
      </c>
      <c r="O86" s="136">
        <f>IF(OR(N86="N",N86=""),"",IF(K86="","",IF((25-SUM(O$68:O85,P$68:P85))&gt;K86,K86,25-SUM(O$68:O85,P$68:P85))))</f>
      </c>
      <c r="P86" s="169">
        <f>IF(OR(N86="N",N86=""),"",IF(M86="","",IF(25-SUM($O$68:O86,$P$68:P85)&gt;M86,M86,25-SUM($O$68:O86,$P$68:P85))))</f>
      </c>
      <c r="Q86" s="137">
        <f t="shared" si="61"/>
      </c>
      <c r="R86" s="135">
        <f t="shared" si="62"/>
      </c>
      <c r="S86" s="141">
        <f t="shared" si="63"/>
      </c>
      <c r="T86" s="31">
        <f>IF(N86="O",MAX(T$66:T85)+1,"")</f>
      </c>
      <c r="U86" s="31">
        <f>IF(Q86="O",MAX(U$66:U85)+1,"")</f>
      </c>
      <c r="V86" s="106">
        <f>IF(W86&lt;&gt;"",VLOOKUP($B$20,'Grille IND'!$A$5:$F$653,3,FALSE),"")</f>
      </c>
      <c r="W86" s="106">
        <f t="shared" si="64"/>
      </c>
      <c r="X86" s="107">
        <f>IF(Y86&lt;&gt;"",VLOOKUP($B$20,'Grille IND'!$A$5:$F$653,4,FALSE),"")</f>
      </c>
      <c r="Y86" s="107">
        <f t="shared" si="65"/>
      </c>
      <c r="Z86" s="108">
        <f>IF(AA86&lt;&gt;"",VLOOKUP($B$20,'Grille IND'!$A$5:$F$653,5,FALSE),"")</f>
      </c>
      <c r="AA86" s="108">
        <f t="shared" si="66"/>
      </c>
      <c r="AB86" s="109">
        <f>IF(AC86&lt;&gt;"",VLOOKUP($B$20,'Grille IND'!$A$5:$F$653,6,FALSE),"")</f>
      </c>
      <c r="AC86" s="109">
        <f t="shared" si="67"/>
      </c>
      <c r="AO86" s="105">
        <f t="shared" si="54"/>
      </c>
    </row>
    <row r="87" spans="1:41" ht="18" thickBot="1">
      <c r="A87" s="349"/>
      <c r="B87" s="183"/>
      <c r="C87" s="334"/>
      <c r="D87" s="202"/>
      <c r="E87" s="211"/>
      <c r="F87" s="231"/>
      <c r="G87" s="231"/>
      <c r="H87" s="351" t="s">
        <v>29</v>
      </c>
      <c r="I87" s="351"/>
      <c r="J87" s="211">
        <f>SUM(J74:J83)</f>
        <v>0.08333333333333348</v>
      </c>
      <c r="K87" s="165">
        <f>SUM(K68:K86)</f>
        <v>3.250000000000007</v>
      </c>
      <c r="L87" s="211">
        <f>SUM(L74:L83)</f>
        <v>1.0451388888888886</v>
      </c>
      <c r="M87" s="165">
        <f>SUM(M68:M86)</f>
        <v>26.08333333333333</v>
      </c>
      <c r="N87" s="166"/>
      <c r="O87" s="336">
        <f>SUM(O72:P86)</f>
        <v>23.28333333333334</v>
      </c>
      <c r="P87" s="336"/>
      <c r="Q87" s="177"/>
      <c r="R87" s="257">
        <f>SUM(R72:R86)</f>
        <v>0.5000000000000009</v>
      </c>
      <c r="S87" s="257">
        <f>SUM(S72:S86)</f>
        <v>3.299999999999994</v>
      </c>
      <c r="V87" s="239"/>
      <c r="W87" s="239">
        <f>SUM(W68:W86)</f>
        <v>22.5</v>
      </c>
      <c r="X87" s="240"/>
      <c r="Y87" s="240">
        <f>SUM(Y68:Y86)</f>
        <v>0</v>
      </c>
      <c r="Z87" s="241"/>
      <c r="AA87" s="241">
        <f>SUM(AA68:AA86)</f>
        <v>0</v>
      </c>
      <c r="AB87" s="242"/>
      <c r="AC87" s="242">
        <f>SUM(AC68:AC86)</f>
        <v>2.5000000000000044</v>
      </c>
      <c r="AO87" s="105">
        <f t="shared" si="54"/>
      </c>
    </row>
    <row r="88" spans="1:41" ht="19.5" customHeight="1" thickBot="1">
      <c r="A88" s="184"/>
      <c r="B88" s="185"/>
      <c r="C88" s="185"/>
      <c r="D88" s="186"/>
      <c r="E88" s="223"/>
      <c r="F88" s="232"/>
      <c r="G88" s="232"/>
      <c r="H88" s="187"/>
      <c r="I88" s="187"/>
      <c r="J88" s="223"/>
      <c r="K88" s="188"/>
      <c r="L88" s="223"/>
      <c r="M88" s="188"/>
      <c r="N88" s="189"/>
      <c r="O88" s="189"/>
      <c r="P88" s="190"/>
      <c r="Q88" s="191"/>
      <c r="R88" s="191"/>
      <c r="S88" s="185"/>
      <c r="V88" s="239"/>
      <c r="W88" s="239">
        <f>SUMPRODUCT(V68:V86,W68:W86)</f>
        <v>357.975</v>
      </c>
      <c r="X88" s="240"/>
      <c r="Y88" s="240">
        <f>SUMPRODUCT(X68:X86,Y68:Y86)</f>
        <v>0</v>
      </c>
      <c r="Z88" s="241"/>
      <c r="AA88" s="241">
        <f>SUMPRODUCT(Z68:Z86,AA68:AA86)</f>
        <v>0</v>
      </c>
      <c r="AB88" s="242"/>
      <c r="AC88" s="242">
        <f>SUMPRODUCT(AB68:AB86,AC68:AC86)</f>
        <v>79.55000000000014</v>
      </c>
      <c r="AO88" s="105">
        <f t="shared" si="54"/>
      </c>
    </row>
    <row r="89" spans="1:41" ht="15">
      <c r="A89" s="347" t="s">
        <v>163</v>
      </c>
      <c r="B89" s="181">
        <f>VLOOKUP($B$1,INFOS!A:AU,39,FALSE)</f>
        <v>457</v>
      </c>
      <c r="C89" s="338" t="s">
        <v>31</v>
      </c>
      <c r="D89" s="405" t="s">
        <v>170</v>
      </c>
      <c r="E89" s="398"/>
      <c r="F89" s="398"/>
      <c r="G89" s="398"/>
      <c r="H89" s="398"/>
      <c r="I89" s="398"/>
      <c r="J89" s="398"/>
      <c r="K89" s="398"/>
      <c r="L89" s="398"/>
      <c r="M89" s="399"/>
      <c r="N89" s="339" t="s">
        <v>32</v>
      </c>
      <c r="O89" s="340"/>
      <c r="P89" s="340"/>
      <c r="Q89" s="341"/>
      <c r="R89" s="345">
        <f>R87</f>
        <v>0.5000000000000009</v>
      </c>
      <c r="S89" s="331">
        <f>S87</f>
        <v>3.299999999999994</v>
      </c>
      <c r="V89" s="34"/>
      <c r="X89" s="34"/>
      <c r="Y89" s="34"/>
      <c r="Z89" s="34"/>
      <c r="AA89" s="34"/>
      <c r="AB89" s="34"/>
      <c r="AC89" s="34"/>
      <c r="AO89" s="397"/>
    </row>
    <row r="90" spans="1:41" ht="15">
      <c r="A90" s="348"/>
      <c r="B90" s="182">
        <f>VLOOKUP($B$1,INFOS!A:AU,40,FALSE)</f>
        <v>1</v>
      </c>
      <c r="C90" s="338"/>
      <c r="D90" s="408"/>
      <c r="E90" s="408"/>
      <c r="F90" s="408"/>
      <c r="G90" s="408"/>
      <c r="H90" s="408"/>
      <c r="I90" s="408"/>
      <c r="J90" s="408"/>
      <c r="K90" s="408"/>
      <c r="L90" s="408"/>
      <c r="M90" s="409"/>
      <c r="N90" s="342"/>
      <c r="O90" s="343"/>
      <c r="P90" s="343"/>
      <c r="Q90" s="344"/>
      <c r="R90" s="346"/>
      <c r="S90" s="332"/>
      <c r="V90" s="34"/>
      <c r="X90" s="34"/>
      <c r="Y90" s="34"/>
      <c r="Z90" s="34"/>
      <c r="AA90" s="34"/>
      <c r="AB90" s="34"/>
      <c r="AC90" s="34"/>
      <c r="AO90" s="397"/>
    </row>
    <row r="91" spans="1:41" ht="15">
      <c r="A91" s="348"/>
      <c r="B91" s="350" t="str">
        <f>VLOOKUP($B$1,INFOS!A:AU,9,FALSE)</f>
        <v>Direction Générale des Services</v>
      </c>
      <c r="C91" s="338"/>
      <c r="D91" s="171">
        <f>IF(ROWS($D$91:D91)&lt;=MAX($U$68:$U$86),INDEX($D$68:$D$86,MATCH(ROWS($D$91:D91),$U$68:$U$86,0)),"")</f>
        <v>43125</v>
      </c>
      <c r="E91" s="209">
        <f aca="true" t="shared" si="69" ref="E91:M95">IF($D91&lt;&gt;"",_xlfn.IFERROR(VLOOKUP($D91,$D$74:$S$86,COLUMN(B$1),0),""),"")</f>
        <v>0.4166666666666667</v>
      </c>
      <c r="F91" s="209">
        <f t="shared" si="69"/>
        <v>0.5416666666666666</v>
      </c>
      <c r="G91" s="209">
        <f t="shared" si="69"/>
        <v>0.12499999999999994</v>
      </c>
      <c r="H91" s="209">
        <f t="shared" si="69"/>
      </c>
      <c r="I91" s="159">
        <f t="shared" si="69"/>
      </c>
      <c r="J91" s="209">
        <f t="shared" si="69"/>
      </c>
      <c r="K91" s="160">
        <f t="shared" si="69"/>
      </c>
      <c r="L91" s="209">
        <f t="shared" si="69"/>
        <v>0.12499999999999994</v>
      </c>
      <c r="M91" s="160">
        <f t="shared" si="69"/>
        <v>2.9999999999999987</v>
      </c>
      <c r="N91" s="281" t="str">
        <f>IF(OR(O91&lt;&gt;"",P91&lt;&gt;""),"O","")</f>
        <v>O</v>
      </c>
      <c r="O91" s="274">
        <f aca="true" t="shared" si="70" ref="O91:P95">IF($D91&lt;&gt;"",_xlfn.IFERROR(VLOOKUP($D91,$D$74:$S$86,COLUMN(O$1),0),""),"")</f>
      </c>
      <c r="P91" s="274">
        <f t="shared" si="70"/>
        <v>2.799999999999996</v>
      </c>
      <c r="Q91" s="282"/>
      <c r="R91" s="282"/>
      <c r="S91" s="276"/>
      <c r="T91" s="31">
        <f>IF(N91="O",MAX(T$89:T90)+1,"")</f>
        <v>1</v>
      </c>
      <c r="U91" s="31">
        <f>IF(Q91="O",MAX(U$89:U90)+1,"")</f>
      </c>
      <c r="V91" s="106">
        <f>IF(W91&lt;&gt;"",VLOOKUP($B$20,'Grille IND'!$A$5:$F$653,3,FALSE),"")</f>
        <v>15.91</v>
      </c>
      <c r="W91" s="106">
        <f>IF(T91="","",IF(OR(AO91="D",AO91="F"),"",IF(OR(AND(N91="O",Q91="",P91&lt;=14),AND(N91="O",Q91="O",P91&lt;=14)),P91,14)))</f>
        <v>2.799999999999996</v>
      </c>
      <c r="X91" s="107">
        <f>IF(Y91&lt;&gt;"",VLOOKUP($B$20,'Grille IND'!$A$5:$F$653,4,FALSE),"")</f>
      </c>
      <c r="Y91" s="107">
        <f>IF(T91="","",IF(OR(AO91="D",AO91="F"),"",IF(OR(AND(N91="O",Q91="",P91&gt;14),AND(N91="O",Q91="O",P91&gt;14)),P91-14,"")))</f>
      </c>
      <c r="Z91" s="108">
        <f>IF(AA91&lt;&gt;"",VLOOKUP($B$20,'Grille IND'!$A$5:$F$653,5,FALSE),"")</f>
      </c>
      <c r="AA91" s="108">
        <f>IF(T91="","",IF(OR(AND(OR(AO91="D",AO91="F"),N91="O",Q91=""),AND(OR(AO91="D",AO91="F"),N91="O",Q91="O")),P91,""))</f>
      </c>
      <c r="AB91" s="109">
        <f>IF(AC91&lt;&gt;"",VLOOKUP($B$20,'Grille IND'!$A$5:$F$653,6,FALSE),"")</f>
      </c>
      <c r="AC91" s="109">
        <f>IF(T91="","",IF(O91="","",O91))</f>
      </c>
      <c r="AO91" s="105">
        <f t="shared" si="54"/>
      </c>
    </row>
    <row r="92" spans="1:41" ht="15">
      <c r="A92" s="348"/>
      <c r="B92" s="350"/>
      <c r="C92" s="338"/>
      <c r="D92" s="171">
        <f>IF(ROWS($D$91:D92)&lt;=MAX($U$68:$U$86),INDEX($D$68:$D$86,MATCH(ROWS($D$91:D92),$U$68:$U$86,0)),"")</f>
        <v>43126</v>
      </c>
      <c r="E92" s="209">
        <f>IF($D92&lt;&gt;"",_xlfn.IFERROR(VLOOKUP($D92,$D$74:$S$86,COLUMN(B$1),0),""),"")</f>
        <v>0.8958333333333334</v>
      </c>
      <c r="F92" s="209">
        <f t="shared" si="69"/>
        <v>0.9375</v>
      </c>
      <c r="G92" s="209">
        <f t="shared" si="69"/>
        <v>0.04166666666666663</v>
      </c>
      <c r="H92" s="209">
        <f t="shared" si="69"/>
      </c>
      <c r="I92" s="159">
        <f t="shared" si="69"/>
        <v>0.02083333333333337</v>
      </c>
      <c r="J92" s="209">
        <f t="shared" si="69"/>
        <v>0.02083333333333337</v>
      </c>
      <c r="K92" s="160">
        <f t="shared" si="69"/>
        <v>0.5000000000000009</v>
      </c>
      <c r="L92" s="209">
        <f t="shared" si="69"/>
        <v>0.02083333333333326</v>
      </c>
      <c r="M92" s="160">
        <f t="shared" si="69"/>
        <v>0.4999999999999982</v>
      </c>
      <c r="N92" s="283" t="str">
        <f>IF(OR(O92&lt;&gt;"",P92&lt;&gt;""),"O","")</f>
        <v>O</v>
      </c>
      <c r="O92" s="284">
        <f t="shared" si="70"/>
        <v>0.5000000000000009</v>
      </c>
      <c r="P92" s="279">
        <f t="shared" si="70"/>
        <v>0.4999999999999982</v>
      </c>
      <c r="Q92" s="285"/>
      <c r="R92" s="285"/>
      <c r="S92" s="280"/>
      <c r="T92" s="31">
        <f>IF(N92="O",MAX(T$89:T91)+1,"")</f>
        <v>2</v>
      </c>
      <c r="U92" s="31">
        <f>IF(Q92="O",MAX(U$89:U91)+1,"")</f>
      </c>
      <c r="V92" s="106">
        <f>IF(W92&lt;&gt;"",VLOOKUP($B$20,'Grille IND'!$A$5:$F$653,3,FALSE),"")</f>
        <v>15.91</v>
      </c>
      <c r="W92" s="106">
        <f>IF(T92="","",IF(OR(AO92="D",AO92="F"),"",IF(OR(AND(N92="O",Q92="",P92&lt;=14),AND(N92="O",Q92="O",P92&lt;=14)),P92,14)))</f>
        <v>0.4999999999999982</v>
      </c>
      <c r="X92" s="107">
        <f>IF(Y92&lt;&gt;"",VLOOKUP($B$20,'Grille IND'!$A$5:$F$653,4,FALSE),"")</f>
      </c>
      <c r="Y92" s="107">
        <f>IF(T92="","",IF(OR(AO92="D",AO92="F"),"",IF(OR(AND(N92="O",Q92="",P92&gt;14),AND(N92="O",Q92="O",P92&gt;14)),P92-14,"")))</f>
      </c>
      <c r="Z92" s="108">
        <f>IF(AA92&lt;&gt;"",VLOOKUP($B$20,'Grille IND'!$A$5:$F$653,5,FALSE),"")</f>
      </c>
      <c r="AA92" s="108">
        <f>IF(T92="","",IF(OR(AND(OR(AO92="D",AO92="F"),N92="O",Q92=""),AND(OR(AO92="D",AO92="F"),N92="O",Q92="O")),P92,""))</f>
      </c>
      <c r="AB92" s="109">
        <f>IF(AC92&lt;&gt;"",VLOOKUP($B$20,'Grille IND'!$A$5:$F$653,6,FALSE),"")</f>
        <v>31.82</v>
      </c>
      <c r="AC92" s="109">
        <f>IF(T92="","",IF(O92="","",O92))</f>
        <v>0.5000000000000009</v>
      </c>
      <c r="AO92" s="105">
        <f t="shared" si="54"/>
      </c>
    </row>
    <row r="93" spans="1:41" ht="15">
      <c r="A93" s="348"/>
      <c r="B93" s="139"/>
      <c r="C93" s="338"/>
      <c r="D93" s="171">
        <f>IF(ROWS($D$91:D93)&lt;=MAX($U$68:$U$86),INDEX($D$68:$D$86,MATCH(ROWS($D$91:D93),$U$68:$U$86,0)),"")</f>
      </c>
      <c r="E93" s="209">
        <f t="shared" si="69"/>
      </c>
      <c r="F93" s="209">
        <f t="shared" si="69"/>
      </c>
      <c r="G93" s="209">
        <f t="shared" si="69"/>
      </c>
      <c r="H93" s="209">
        <f t="shared" si="69"/>
      </c>
      <c r="I93" s="159">
        <f t="shared" si="69"/>
      </c>
      <c r="J93" s="209">
        <f t="shared" si="69"/>
      </c>
      <c r="K93" s="160">
        <f t="shared" si="69"/>
      </c>
      <c r="L93" s="209">
        <f t="shared" si="69"/>
      </c>
      <c r="M93" s="160">
        <f t="shared" si="69"/>
      </c>
      <c r="N93" s="283">
        <f>IF(OR(O93&lt;&gt;"",P93&lt;&gt;""),"O","")</f>
      </c>
      <c r="O93" s="284">
        <f t="shared" si="70"/>
      </c>
      <c r="P93" s="279">
        <f t="shared" si="70"/>
      </c>
      <c r="Q93" s="285"/>
      <c r="R93" s="285"/>
      <c r="S93" s="280"/>
      <c r="T93" s="31">
        <f>IF(N93="O",MAX(T$89:T92)+1,"")</f>
      </c>
      <c r="U93" s="31">
        <f>IF(Q93="O",MAX(U$89:U92)+1,"")</f>
      </c>
      <c r="V93" s="106">
        <f>IF(W93&lt;&gt;"",VLOOKUP($B$20,'Grille IND'!$A$5:$F$653,3,FALSE),"")</f>
      </c>
      <c r="W93" s="106">
        <f>IF(T93="","",IF(OR(AO93="D",AO93="F"),"",IF(OR(AND(N93="O",Q93="",P93&lt;=14),AND(N93="O",Q93="O",P93&lt;=14)),P93,14)))</f>
      </c>
      <c r="X93" s="107">
        <f>IF(Y93&lt;&gt;"",VLOOKUP($B$20,'Grille IND'!$A$5:$F$653,4,FALSE),"")</f>
      </c>
      <c r="Y93" s="107">
        <f>IF(T93="","",IF(OR(AO93="D",AO93="F"),"",IF(OR(AND(N93="O",Q93="",P93&gt;14),AND(N93="O",Q93="O",P93&gt;14)),P93-14,"")))</f>
      </c>
      <c r="Z93" s="108">
        <f>IF(AA93&lt;&gt;"",VLOOKUP($B$20,'Grille IND'!$A$5:$F$653,5,FALSE),"")</f>
      </c>
      <c r="AA93" s="108">
        <f>IF(T93="","",IF(OR(AND(OR(AO93="D",AO93="F"),N93="O",Q93=""),AND(OR(AO93="D",AO93="F"),N93="O",Q93="O")),P93,""))</f>
      </c>
      <c r="AB93" s="109">
        <f>IF(AC93&lt;&gt;"",VLOOKUP($B$20,'Grille IND'!$A$5:$F$653,6,FALSE),"")</f>
      </c>
      <c r="AC93" s="109">
        <f>IF(T93="","",IF(O93="","",O93))</f>
      </c>
      <c r="AO93" s="105">
        <f t="shared" si="54"/>
      </c>
    </row>
    <row r="94" spans="1:41" ht="15">
      <c r="A94" s="348"/>
      <c r="B94" s="139"/>
      <c r="C94" s="338"/>
      <c r="D94" s="171">
        <f>IF(ROWS($D$91:D94)&lt;=MAX($U$68:$U$86),INDEX($D$68:$D$86,MATCH(ROWS($D$91:D94),$U$68:$U$86,0)),"")</f>
      </c>
      <c r="E94" s="209">
        <f t="shared" si="69"/>
      </c>
      <c r="F94" s="209">
        <f t="shared" si="69"/>
      </c>
      <c r="G94" s="209">
        <f t="shared" si="69"/>
      </c>
      <c r="H94" s="209">
        <f t="shared" si="69"/>
      </c>
      <c r="I94" s="159">
        <f t="shared" si="69"/>
      </c>
      <c r="J94" s="209">
        <f t="shared" si="69"/>
      </c>
      <c r="K94" s="160">
        <f t="shared" si="69"/>
      </c>
      <c r="L94" s="209">
        <f t="shared" si="69"/>
      </c>
      <c r="M94" s="160">
        <f t="shared" si="69"/>
      </c>
      <c r="N94" s="283">
        <f>IF(OR(O94&lt;&gt;"",P94&lt;&gt;""),"O","")</f>
      </c>
      <c r="O94" s="284">
        <f t="shared" si="70"/>
      </c>
      <c r="P94" s="279">
        <f t="shared" si="70"/>
      </c>
      <c r="Q94" s="285"/>
      <c r="R94" s="285"/>
      <c r="S94" s="280"/>
      <c r="T94" s="31">
        <f>IF(N94="O",MAX(T$89:T93)+1,"")</f>
      </c>
      <c r="U94" s="31">
        <f>IF(Q94="O",MAX(U$89:U93)+1,"")</f>
      </c>
      <c r="V94" s="106">
        <f>IF(W94&lt;&gt;"",VLOOKUP($B$20,'Grille IND'!$A$5:$F$653,3,FALSE),"")</f>
      </c>
      <c r="W94" s="106">
        <f>IF(T94="","",IF(OR(AO94="D",AO94="F"),"",IF(OR(AND(N94="O",Q94="",P94&lt;=14),AND(N94="O",Q94="O",P94&lt;=14)),P94,14)))</f>
      </c>
      <c r="X94" s="107">
        <f>IF(Y94&lt;&gt;"",VLOOKUP($B$20,'Grille IND'!$A$5:$F$653,4,FALSE),"")</f>
      </c>
      <c r="Y94" s="107">
        <f>IF(T94="","",IF(OR(AO94="D",AO94="F"),"",IF(OR(AND(N94="O",Q94="",P94&gt;14),AND(N94="O",Q94="O",P94&gt;14)),P94-14,"")))</f>
      </c>
      <c r="Z94" s="108">
        <f>IF(AA94&lt;&gt;"",VLOOKUP($B$20,'Grille IND'!$A$5:$F$653,5,FALSE),"")</f>
      </c>
      <c r="AA94" s="108">
        <f>IF(T94="","",IF(OR(AND(OR(AO94="D",AO94="F"),N94="O",Q94=""),AND(OR(AO94="D",AO94="F"),N94="O",Q94="O")),P94,""))</f>
      </c>
      <c r="AB94" s="109">
        <f>IF(AC94&lt;&gt;"",VLOOKUP($B$20,'Grille IND'!$A$5:$F$653,6,FALSE),"")</f>
      </c>
      <c r="AC94" s="109">
        <f>IF(T94="","",IF(O94="","",O94))</f>
      </c>
      <c r="AO94" s="105">
        <f t="shared" si="54"/>
      </c>
    </row>
    <row r="95" spans="1:41" ht="15">
      <c r="A95" s="348"/>
      <c r="B95" s="139"/>
      <c r="C95" s="338"/>
      <c r="D95" s="171">
        <f>IF(ROWS($D$91:D95)&lt;=MAX($U$68:$U$86),INDEX($D$68:$D$86,MATCH(ROWS($D$91:D95),$U$68:$U$86,0)),"")</f>
      </c>
      <c r="E95" s="209">
        <f t="shared" si="69"/>
      </c>
      <c r="F95" s="209">
        <f t="shared" si="69"/>
      </c>
      <c r="G95" s="209">
        <f t="shared" si="69"/>
      </c>
      <c r="H95" s="209">
        <f t="shared" si="69"/>
      </c>
      <c r="I95" s="159">
        <f t="shared" si="69"/>
      </c>
      <c r="J95" s="209">
        <f t="shared" si="69"/>
      </c>
      <c r="K95" s="160">
        <f t="shared" si="69"/>
      </c>
      <c r="L95" s="209">
        <f t="shared" si="69"/>
      </c>
      <c r="M95" s="160">
        <f t="shared" si="69"/>
      </c>
      <c r="N95" s="283">
        <f>IF(OR(O95&lt;&gt;"",P95&lt;&gt;""),"O","")</f>
      </c>
      <c r="O95" s="284">
        <f t="shared" si="70"/>
      </c>
      <c r="P95" s="279">
        <f t="shared" si="70"/>
      </c>
      <c r="Q95" s="285"/>
      <c r="R95" s="285"/>
      <c r="S95" s="280"/>
      <c r="T95" s="31">
        <f>IF(N95="O",MAX(T$89:T94)+1,"")</f>
      </c>
      <c r="U95" s="31">
        <f>IF(Q95="O",MAX(U$89:U94)+1,"")</f>
      </c>
      <c r="V95" s="106">
        <f>IF(W95&lt;&gt;"",VLOOKUP($B$20,'Grille IND'!$A$5:$F$653,3,FALSE),"")</f>
      </c>
      <c r="W95" s="106">
        <f>IF(T95="","",IF(OR(AO95="D",AO95="F"),"",IF(OR(AND(N95="O",Q95="",P95&lt;=14),AND(N95="O",Q95="O",P95&lt;=14)),P95,14)))</f>
      </c>
      <c r="X95" s="107">
        <f>IF(Y95&lt;&gt;"",VLOOKUP($B$20,'Grille IND'!$A$5:$F$653,4,FALSE),"")</f>
      </c>
      <c r="Y95" s="107">
        <f>IF(T95="","",IF(OR(AO95="D",AO95="F"),"",IF(OR(AND(N95="O",Q95="",P95&gt;14),AND(N95="O",Q95="O",P95&gt;14)),P95-14,"")))</f>
      </c>
      <c r="Z95" s="108">
        <f>IF(AA95&lt;&gt;"",VLOOKUP($B$20,'Grille IND'!$A$5:$F$653,5,FALSE),"")</f>
      </c>
      <c r="AA95" s="108">
        <f>IF(T95="","",IF(OR(AND(OR(AO95="D",AO95="F"),N95="O",Q95=""),AND(OR(AO95="D",AO95="F"),N95="O",Q95="O")),P95,""))</f>
      </c>
      <c r="AB95" s="109">
        <f>IF(AC95&lt;&gt;"",VLOOKUP($B$20,'Grille IND'!$A$5:$F$653,6,FALSE),"")</f>
      </c>
      <c r="AC95" s="109">
        <f>IF(T95="","",IF(O95="","",O95))</f>
      </c>
      <c r="AO95" s="105">
        <f t="shared" si="54"/>
      </c>
    </row>
    <row r="96" spans="1:41" ht="21.75" customHeight="1">
      <c r="A96" s="348"/>
      <c r="B96" s="139"/>
      <c r="C96" s="338"/>
      <c r="D96" s="192"/>
      <c r="E96" s="224"/>
      <c r="F96" s="233"/>
      <c r="G96" s="233"/>
      <c r="H96" s="167"/>
      <c r="I96" s="167"/>
      <c r="J96" s="224"/>
      <c r="K96" s="168"/>
      <c r="L96" s="224"/>
      <c r="M96" s="168"/>
      <c r="N96" s="193">
        <f>IF(AND(K96="",M96=""),"",IF(OR(SUM(K$22:K96,M$22:M96)&lt;=25,AND(SUM(K$22:K96,M$22:M96)&lt;=25,SUM(K$22:K96,M$22:M96,M96,K96)&gt;25)),"O","N"))</f>
      </c>
      <c r="O96" s="193"/>
      <c r="P96" s="168">
        <f>_xlfn.IFERROR(VLOOKUP($D96,$D$45:$S$63,COLUMN(N$1),0),"")</f>
      </c>
      <c r="Q96" s="178"/>
      <c r="R96" s="178"/>
      <c r="S96" s="194"/>
      <c r="T96" s="31">
        <f>IF(N96="O",MAX(T$89:T95)+1,"")</f>
      </c>
      <c r="U96" s="31">
        <f>IF(Q96="O",MAX(U$89:U95)+1,"")</f>
      </c>
      <c r="V96" s="238"/>
      <c r="W96" s="238"/>
      <c r="X96" s="252"/>
      <c r="Y96" s="252"/>
      <c r="Z96" s="253"/>
      <c r="AA96" s="253"/>
      <c r="AB96" s="254"/>
      <c r="AC96" s="254"/>
      <c r="AO96" s="105">
        <f t="shared" si="54"/>
      </c>
    </row>
    <row r="97" spans="1:41" ht="14.25" customHeight="1">
      <c r="A97" s="348"/>
      <c r="B97" s="139"/>
      <c r="C97" s="334" t="s">
        <v>27</v>
      </c>
      <c r="D97" s="133">
        <v>43136</v>
      </c>
      <c r="E97" s="210">
        <v>0.3333333333333333</v>
      </c>
      <c r="F97" s="213">
        <v>0.5416666666666666</v>
      </c>
      <c r="G97" s="213">
        <f aca="true" t="shared" si="71" ref="G97:G109">IF(AND(E97="",F97=""),"",MOD(F97-E97,1))</f>
        <v>0.20833333333333331</v>
      </c>
      <c r="H97" s="213">
        <f aca="true" t="shared" si="72" ref="H97:H109">IF(E97="","",IF($E97&lt;$AJ$3,$AJ$3-$E97,""))</f>
      </c>
      <c r="I97" s="213">
        <f aca="true" t="shared" si="73" ref="I97:I109">IF(F97="","",IF($F97&gt;$AK$3,$F97-$AK$3,""))</f>
      </c>
      <c r="J97" s="210">
        <f aca="true" t="shared" si="74" ref="J97:J109">IF(AND(H97="",I97=""),"",SUM(H97,I97))</f>
      </c>
      <c r="K97" s="135">
        <f aca="true" t="shared" si="75" ref="K97:K109">IF(J97="","",J97*24)</f>
      </c>
      <c r="L97" s="210">
        <f>IF(AND(E97="",F97=""),"",IF(J97&lt;&gt;"",G97-J97,G97))</f>
        <v>0.20833333333333331</v>
      </c>
      <c r="M97" s="135">
        <f aca="true" t="shared" si="76" ref="M97:M109">IF(L97="","",L97*24)</f>
        <v>5</v>
      </c>
      <c r="N97" s="271" t="str">
        <f>IF(AND(K97="",M97=""),"",IF(OR(SUM($O$91:$P$95,K$97:K97,M$97:M97)&lt;=25,AND(SUM($O$91:$P$95,K$96:K96,M$96:M96)&lt;=25,SUM($O$91:$P$95,K$97:K97,M$97:M97)&gt;25)),"O","N"))</f>
        <v>O</v>
      </c>
      <c r="O97" s="136">
        <f>IF(OR(N97="N",N97=""),"",IF(K97="","",IF((25-SUM(O$91:O96,P$91:P96))&gt;K97,K97,25-SUM(O$91:O96,P$91:P96))))</f>
      </c>
      <c r="P97" s="135">
        <f>IF(OR(N97="N",N97=""),"",IF(M97="","",IF(25-SUM($O$91:O97,$P$91:P96)&gt;M97,M97,25-SUM($O$91:O97,$P$91:P96))))</f>
        <v>5</v>
      </c>
      <c r="Q97" s="137">
        <f aca="true" t="shared" si="77" ref="Q97:Q109">IF(AND(N97="O",SUM(O97,P97)=SUM(K97,M97)),"",IF(AND(N97="O",SUM(O97,P97)&lt;SUM(K97,M97)),"O",IF(N97="N","O","")))</f>
      </c>
      <c r="R97" s="135">
        <f aca="true" t="shared" si="78" ref="R97:R108">IF(Q97="","",IF(AND(N97="O",Q97="O"),IF(K97="","",K97-O97),IF(N97="N",IF(K97="","",K97),"")))</f>
      </c>
      <c r="S97" s="141">
        <f aca="true" t="shared" si="79" ref="S97:S109">IF(Q97="","",IF(AND(N97="O",Q97="O"),IF(M97="","",M97-P97),IF(N97="N",IF(M97="","",M97),"")))</f>
      </c>
      <c r="T97" s="31">
        <f>IF(N97="O",MAX(T$89:T96)+1,"")</f>
        <v>3</v>
      </c>
      <c r="U97" s="31">
        <f>IF(Q97="O",MAX(U$89:U96)+1,"")</f>
      </c>
      <c r="V97" s="106">
        <f>IF(W97&lt;&gt;"",VLOOKUP($B$20,'Grille IND'!$A$5:$F$653,3,FALSE),"")</f>
        <v>15.91</v>
      </c>
      <c r="W97" s="106">
        <f aca="true" t="shared" si="80" ref="W97:W109">IF(T97="","",IF(OR(AO97="D",AO97="F"),"",IF(OR(AND(N97="O",Q97="",P97&lt;=14),AND(N97="O",Q97="O",P97&lt;=14)),P97,14)))</f>
        <v>5</v>
      </c>
      <c r="X97" s="107">
        <f>IF(Y97&lt;&gt;"",VLOOKUP($B$20,'Grille IND'!$A$5:$F$653,4,FALSE),"")</f>
      </c>
      <c r="Y97" s="107">
        <f aca="true" t="shared" si="81" ref="Y97:Y109">IF(T97="","",IF(OR(AO97="D",AO97="F"),"",IF(OR(AND(N97="O",Q97="",P97&gt;14),AND(N97="O",Q97="O",P97&gt;14)),P97-14,"")))</f>
      </c>
      <c r="Z97" s="108">
        <f>IF(AA97&lt;&gt;"",VLOOKUP($B$20,'Grille IND'!$A$5:$F$653,5,FALSE),"")</f>
      </c>
      <c r="AA97" s="108">
        <f aca="true" t="shared" si="82" ref="AA97:AA109">IF(T97="","",IF(OR(AND(OR(AO97="D",AO97="F"),N97="O",Q97=""),AND(OR(AO97="D",AO97="F"),N97="O",Q97="O")),P97,""))</f>
      </c>
      <c r="AB97" s="109">
        <f>IF(AC97&lt;&gt;"",VLOOKUP($B$20,'Grille IND'!$A$5:$F$653,6,FALSE),"")</f>
      </c>
      <c r="AC97" s="109">
        <f aca="true" t="shared" si="83" ref="AC97:AC109">IF(T97="","",IF(O97="","",O97))</f>
      </c>
      <c r="AO97" s="105">
        <f t="shared" si="54"/>
      </c>
    </row>
    <row r="98" spans="1:41" ht="15">
      <c r="A98" s="348"/>
      <c r="B98" s="139"/>
      <c r="C98" s="334"/>
      <c r="D98" s="133">
        <v>43141</v>
      </c>
      <c r="E98" s="210">
        <v>0.34375</v>
      </c>
      <c r="F98" s="213">
        <v>0.8541666666666666</v>
      </c>
      <c r="G98" s="213">
        <f t="shared" si="71"/>
        <v>0.5104166666666666</v>
      </c>
      <c r="H98" s="213">
        <f t="shared" si="72"/>
      </c>
      <c r="I98" s="213">
        <f t="shared" si="73"/>
      </c>
      <c r="J98" s="210">
        <f t="shared" si="74"/>
      </c>
      <c r="K98" s="135">
        <f t="shared" si="75"/>
      </c>
      <c r="L98" s="210">
        <f aca="true" t="shared" si="84" ref="L98:L109">IF(AND(E98="",F98=""),"",IF(J98&lt;&gt;"",G98-J98,G98))</f>
        <v>0.5104166666666666</v>
      </c>
      <c r="M98" s="135">
        <f t="shared" si="76"/>
        <v>12.25</v>
      </c>
      <c r="N98" s="271" t="str">
        <f>IF(AND(K98="",M98=""),"",IF(OR(SUM($O$91:$P$95,K$97:K98,M$97:M98)&lt;=25,AND(SUM($O$91:$P$95,K$96:K97,M$96:M97)&lt;=25,SUM($O$91:$P$95,K$97:K98,M$97:M98)&gt;25)),"O","N"))</f>
        <v>O</v>
      </c>
      <c r="O98" s="136">
        <f>IF(OR(N98="N",N98=""),"",IF(K98="","",IF((25-SUM(O$91:O97,P$91:P97))&gt;K98,K98,25-SUM(O$91:O97,P$91:P97))))</f>
      </c>
      <c r="P98" s="135">
        <f>IF(OR(N98="N",N98=""),"",IF(M98="","",IF(25-SUM($O$91:O98,$P$91:P97)&gt;M98,M98,25-SUM($O$91:O98,$P$91:P97))))</f>
        <v>12.25</v>
      </c>
      <c r="Q98" s="137">
        <f t="shared" si="77"/>
      </c>
      <c r="R98" s="135">
        <f t="shared" si="78"/>
      </c>
      <c r="S98" s="141">
        <f t="shared" si="79"/>
      </c>
      <c r="T98" s="31">
        <f>IF(N98="O",MAX(T$89:T97)+1,"")</f>
        <v>4</v>
      </c>
      <c r="U98" s="31">
        <f>IF(Q98="O",MAX(U$89:U97)+1,"")</f>
      </c>
      <c r="V98" s="106">
        <f>IF(W98&lt;&gt;"",VLOOKUP($B$20,'Grille IND'!$A$5:$F$653,3,FALSE),"")</f>
        <v>15.91</v>
      </c>
      <c r="W98" s="106">
        <f t="shared" si="80"/>
        <v>12.25</v>
      </c>
      <c r="X98" s="107">
        <f>IF(Y98&lt;&gt;"",VLOOKUP($B$20,'Grille IND'!$A$5:$F$653,4,FALSE),"")</f>
      </c>
      <c r="Y98" s="107">
        <f t="shared" si="81"/>
      </c>
      <c r="Z98" s="108">
        <f>IF(AA98&lt;&gt;"",VLOOKUP($B$20,'Grille IND'!$A$5:$F$653,5,FALSE),"")</f>
      </c>
      <c r="AA98" s="108">
        <f t="shared" si="82"/>
      </c>
      <c r="AB98" s="109">
        <f>IF(AC98&lt;&gt;"",VLOOKUP($B$20,'Grille IND'!$A$5:$F$653,6,FALSE),"")</f>
      </c>
      <c r="AC98" s="109">
        <f t="shared" si="83"/>
      </c>
      <c r="AO98" s="105">
        <f t="shared" si="54"/>
      </c>
    </row>
    <row r="99" spans="1:41" ht="15">
      <c r="A99" s="348"/>
      <c r="B99" s="139"/>
      <c r="C99" s="334"/>
      <c r="D99" s="133">
        <v>43142</v>
      </c>
      <c r="E99" s="210">
        <v>0.2916666666666667</v>
      </c>
      <c r="F99" s="213">
        <v>0.5104166666666666</v>
      </c>
      <c r="G99" s="213">
        <f t="shared" si="71"/>
        <v>0.21874999999999994</v>
      </c>
      <c r="H99" s="213">
        <f t="shared" si="72"/>
      </c>
      <c r="I99" s="213">
        <f t="shared" si="73"/>
      </c>
      <c r="J99" s="210">
        <f t="shared" si="74"/>
      </c>
      <c r="K99" s="135">
        <f t="shared" si="75"/>
      </c>
      <c r="L99" s="210">
        <f t="shared" si="84"/>
        <v>0.21874999999999994</v>
      </c>
      <c r="M99" s="135">
        <f t="shared" si="76"/>
        <v>5.249999999999998</v>
      </c>
      <c r="N99" s="271" t="str">
        <f>IF(AND(K99="",M99=""),"",IF(OR(SUM($O$91:$P$95,K$97:K99,M$97:M99)&lt;=25,AND(SUM($O$91:$P$95,K$96:K98,M$96:M98)&lt;=25,SUM($O$91:$P$95,K$97:K99,M$97:M99)&gt;25)),"O","N"))</f>
        <v>O</v>
      </c>
      <c r="O99" s="136">
        <f>IF(OR(N99="N",N99=""),"",IF(K99="","",IF((25-SUM(O$91:O98,P$91:P98))&gt;K99,K99,25-SUM(O$91:O98,P$91:P98))))</f>
      </c>
      <c r="P99" s="135">
        <f>IF(OR(N99="N",N99=""),"",IF(M99="","",IF(25-SUM($O$91:O99,$P$91:P98)&gt;M99,M99,25-SUM($O$91:O99,$P$91:P98))))</f>
        <v>3.950000000000003</v>
      </c>
      <c r="Q99" s="137" t="str">
        <f t="shared" si="77"/>
        <v>O</v>
      </c>
      <c r="R99" s="135">
        <f t="shared" si="78"/>
      </c>
      <c r="S99" s="141">
        <f t="shared" si="79"/>
        <v>1.2999999999999954</v>
      </c>
      <c r="T99" s="31">
        <f>IF(N99="O",MAX(T$89:T98)+1,"")</f>
        <v>5</v>
      </c>
      <c r="U99" s="31">
        <f>IF(Q99="O",MAX(U$89:U98)+1,"")</f>
        <v>1</v>
      </c>
      <c r="V99" s="106">
        <f>IF(W99&lt;&gt;"",VLOOKUP($B$20,'Grille IND'!$A$5:$F$653,3,FALSE),"")</f>
      </c>
      <c r="W99" s="106">
        <f t="shared" si="80"/>
      </c>
      <c r="X99" s="107">
        <f>IF(Y99&lt;&gt;"",VLOOKUP($B$20,'Grille IND'!$A$5:$F$653,4,FALSE),"")</f>
      </c>
      <c r="Y99" s="107">
        <f t="shared" si="81"/>
      </c>
      <c r="Z99" s="108">
        <f>IF(AA99&lt;&gt;"",VLOOKUP($B$20,'Grille IND'!$A$5:$F$653,5,FALSE),"")</f>
        <v>26.52</v>
      </c>
      <c r="AA99" s="108">
        <f t="shared" si="82"/>
        <v>3.950000000000003</v>
      </c>
      <c r="AB99" s="109">
        <f>IF(AC99&lt;&gt;"",VLOOKUP($B$20,'Grille IND'!$A$5:$F$653,6,FALSE),"")</f>
      </c>
      <c r="AC99" s="109">
        <f t="shared" si="83"/>
      </c>
      <c r="AO99" s="105" t="str">
        <f t="shared" si="54"/>
        <v>D</v>
      </c>
    </row>
    <row r="100" spans="1:41" ht="15">
      <c r="A100" s="348"/>
      <c r="B100" s="139"/>
      <c r="C100" s="334"/>
      <c r="D100" s="133">
        <v>43156</v>
      </c>
      <c r="E100" s="210">
        <v>0.625</v>
      </c>
      <c r="F100" s="213">
        <v>0.9305555555555555</v>
      </c>
      <c r="G100" s="213">
        <f t="shared" si="71"/>
        <v>0.30555555555555547</v>
      </c>
      <c r="H100" s="213">
        <f t="shared" si="72"/>
      </c>
      <c r="I100" s="213">
        <f t="shared" si="73"/>
        <v>0.01388888888888884</v>
      </c>
      <c r="J100" s="210">
        <f t="shared" si="74"/>
        <v>0.01388888888888884</v>
      </c>
      <c r="K100" s="135">
        <f t="shared" si="75"/>
        <v>0.33333333333333215</v>
      </c>
      <c r="L100" s="210">
        <f t="shared" si="84"/>
        <v>0.29166666666666663</v>
      </c>
      <c r="M100" s="135">
        <f t="shared" si="76"/>
        <v>6.999999999999999</v>
      </c>
      <c r="N100" s="271" t="str">
        <f>IF(AND(K100="",M100=""),"",IF(OR(SUM($O$91:$P$95,K$97:K100,M$97:M100)&lt;=25,AND(SUM($O$91:$P$95,K$96:K99,M$96:M99)&lt;=25,SUM($O$91:$P$95,K$97:K100,M$97:M100)&gt;25)),"O","N"))</f>
        <v>N</v>
      </c>
      <c r="O100" s="136">
        <f>IF(OR(N100="N",N100=""),"",IF(K100="","",IF((25-SUM(O$91:O99,P$91:P99))&gt;K100,K100,25-SUM(O$91:O99,P$91:P99))))</f>
      </c>
      <c r="P100" s="135">
        <f>IF(OR(N100="N",N100=""),"",IF(M100="","",IF(25-SUM($O$91:O100,$P$91:P99)&gt;M100,M100,25-SUM($O$91:O100,$P$91:P99))))</f>
      </c>
      <c r="Q100" s="137" t="str">
        <f t="shared" si="77"/>
        <v>O</v>
      </c>
      <c r="R100" s="135">
        <f t="shared" si="78"/>
        <v>0.33333333333333215</v>
      </c>
      <c r="S100" s="141">
        <f t="shared" si="79"/>
        <v>6.999999999999999</v>
      </c>
      <c r="T100" s="31">
        <f>IF(N100="O",MAX(T$89:T99)+1,"")</f>
      </c>
      <c r="U100" s="31">
        <f>IF(Q100="O",MAX(U$89:U99)+1,"")</f>
        <v>2</v>
      </c>
      <c r="V100" s="106">
        <f>IF(W100&lt;&gt;"",VLOOKUP($B$20,'Grille IND'!$A$5:$F$653,3,FALSE),"")</f>
      </c>
      <c r="W100" s="106">
        <f t="shared" si="80"/>
      </c>
      <c r="X100" s="107">
        <f>IF(Y100&lt;&gt;"",VLOOKUP($B$20,'Grille IND'!$A$5:$F$653,4,FALSE),"")</f>
      </c>
      <c r="Y100" s="107">
        <f t="shared" si="81"/>
      </c>
      <c r="Z100" s="108">
        <f>IF(AA100&lt;&gt;"",VLOOKUP($B$20,'Grille IND'!$A$5:$F$653,5,FALSE),"")</f>
      </c>
      <c r="AA100" s="108">
        <f t="shared" si="82"/>
      </c>
      <c r="AB100" s="109">
        <f>IF(AC100&lt;&gt;"",VLOOKUP($B$20,'Grille IND'!$A$5:$F$653,6,FALSE),"")</f>
      </c>
      <c r="AC100" s="109">
        <f t="shared" si="83"/>
      </c>
      <c r="AO100" s="105" t="str">
        <f t="shared" si="54"/>
        <v>D</v>
      </c>
    </row>
    <row r="101" spans="1:41" ht="15">
      <c r="A101" s="348"/>
      <c r="B101" s="139"/>
      <c r="C101" s="334"/>
      <c r="D101" s="133">
        <v>43157</v>
      </c>
      <c r="E101" s="210">
        <v>0.7152777777777778</v>
      </c>
      <c r="F101" s="213">
        <v>0.8645833333333334</v>
      </c>
      <c r="G101" s="213">
        <f t="shared" si="71"/>
        <v>0.14930555555555558</v>
      </c>
      <c r="H101" s="213">
        <f t="shared" si="72"/>
      </c>
      <c r="I101" s="213">
        <f t="shared" si="73"/>
      </c>
      <c r="J101" s="210">
        <f t="shared" si="74"/>
      </c>
      <c r="K101" s="135">
        <f t="shared" si="75"/>
      </c>
      <c r="L101" s="210">
        <f t="shared" si="84"/>
        <v>0.14930555555555558</v>
      </c>
      <c r="M101" s="135">
        <f t="shared" si="76"/>
        <v>3.583333333333334</v>
      </c>
      <c r="N101" s="271" t="str">
        <f>IF(AND(K101="",M101=""),"",IF(OR(SUM($O$91:$P$95,K$97:K101,M$97:M101)&lt;=25,AND(SUM($O$91:$P$95,K$96:K100,M$96:M100)&lt;=25,SUM($O$91:$P$95,K$97:K101,M$97:M101)&gt;25)),"O","N"))</f>
        <v>N</v>
      </c>
      <c r="O101" s="136">
        <f>IF(OR(N101="N",N101=""),"",IF(K101="","",IF((25-SUM(O$91:O100,P$91:P100))&gt;K101,K101,25-SUM(O$91:O100,P$91:P100))))</f>
      </c>
      <c r="P101" s="135">
        <f>IF(OR(N101="N",N101=""),"",IF(M101="","",IF(25-SUM($O$91:O101,$P$91:P100)&gt;M101,M101,25-SUM($O$91:O101,$P$91:P100))))</f>
      </c>
      <c r="Q101" s="137" t="str">
        <f t="shared" si="77"/>
        <v>O</v>
      </c>
      <c r="R101" s="135">
        <f t="shared" si="78"/>
      </c>
      <c r="S101" s="141">
        <f t="shared" si="79"/>
        <v>3.583333333333334</v>
      </c>
      <c r="T101" s="31">
        <f>IF(N101="O",MAX(T$89:T100)+1,"")</f>
      </c>
      <c r="U101" s="31">
        <f>IF(Q101="O",MAX(U$89:U100)+1,"")</f>
        <v>3</v>
      </c>
      <c r="V101" s="106">
        <f>IF(W101&lt;&gt;"",VLOOKUP($B$20,'Grille IND'!$A$5:$F$653,3,FALSE),"")</f>
      </c>
      <c r="W101" s="106">
        <f t="shared" si="80"/>
      </c>
      <c r="X101" s="107">
        <f>IF(Y101&lt;&gt;"",VLOOKUP($B$20,'Grille IND'!$A$5:$F$653,4,FALSE),"")</f>
      </c>
      <c r="Y101" s="107">
        <f t="shared" si="81"/>
      </c>
      <c r="Z101" s="108">
        <f>IF(AA101&lt;&gt;"",VLOOKUP($B$20,'Grille IND'!$A$5:$F$653,5,FALSE),"")</f>
      </c>
      <c r="AA101" s="108">
        <f t="shared" si="82"/>
      </c>
      <c r="AB101" s="109">
        <f>IF(AC101&lt;&gt;"",VLOOKUP($B$20,'Grille IND'!$A$5:$F$653,6,FALSE),"")</f>
      </c>
      <c r="AC101" s="109">
        <f t="shared" si="83"/>
      </c>
      <c r="AO101" s="105">
        <f t="shared" si="54"/>
      </c>
    </row>
    <row r="102" spans="1:41" ht="15">
      <c r="A102" s="348"/>
      <c r="B102" s="139"/>
      <c r="C102" s="334"/>
      <c r="D102" s="133"/>
      <c r="E102" s="210"/>
      <c r="F102" s="213"/>
      <c r="G102" s="213">
        <f t="shared" si="71"/>
      </c>
      <c r="H102" s="213">
        <f t="shared" si="72"/>
      </c>
      <c r="I102" s="213">
        <f t="shared" si="73"/>
      </c>
      <c r="J102" s="210">
        <f t="shared" si="74"/>
      </c>
      <c r="K102" s="135">
        <f t="shared" si="75"/>
      </c>
      <c r="L102" s="210">
        <f t="shared" si="84"/>
      </c>
      <c r="M102" s="135">
        <f t="shared" si="76"/>
      </c>
      <c r="N102" s="271">
        <f>IF(AND(K102="",M102=""),"",IF(OR(SUM($O$91:$P$95,K$97:K102,M$97:M102)&lt;=25,AND(SUM($O$91:$P$95,K$96:K101,M$96:M101)&lt;=25,SUM($O$91:$P$95,K$97:K102,M$97:M102)&gt;25)),"O","N"))</f>
      </c>
      <c r="O102" s="136">
        <f>IF(OR(N102="N",N102=""),"",IF(K102="","",IF((25-SUM(O$91:O101,P$91:P101))&gt;K102,K102,25-SUM(O$91:O101,P$91:P101))))</f>
      </c>
      <c r="P102" s="135">
        <f>IF(OR(N102="N",N102=""),"",IF(M102="","",IF(25-SUM($O$91:O102,$P$91:P101)&gt;M102,M102,25-SUM($O$91:O102,$P$91:P101))))</f>
      </c>
      <c r="Q102" s="137">
        <f t="shared" si="77"/>
      </c>
      <c r="R102" s="135">
        <f t="shared" si="78"/>
      </c>
      <c r="S102" s="141">
        <f t="shared" si="79"/>
      </c>
      <c r="T102" s="31">
        <f>IF(N102="O",MAX(T$89:T101)+1,"")</f>
      </c>
      <c r="U102" s="31">
        <f>IF(Q102="O",MAX(U$89:U101)+1,"")</f>
      </c>
      <c r="V102" s="106">
        <f>IF(W102&lt;&gt;"",VLOOKUP($B$20,'Grille IND'!$A$5:$F$653,3,FALSE),"")</f>
      </c>
      <c r="W102" s="106">
        <f t="shared" si="80"/>
      </c>
      <c r="X102" s="107">
        <f>IF(Y102&lt;&gt;"",VLOOKUP($B$20,'Grille IND'!$A$5:$F$653,4,FALSE),"")</f>
      </c>
      <c r="Y102" s="107">
        <f t="shared" si="81"/>
      </c>
      <c r="Z102" s="108">
        <f>IF(AA102&lt;&gt;"",VLOOKUP($B$20,'Grille IND'!$A$5:$F$653,5,FALSE),"")</f>
      </c>
      <c r="AA102" s="108">
        <f t="shared" si="82"/>
      </c>
      <c r="AB102" s="109">
        <f>IF(AC102&lt;&gt;"",VLOOKUP($B$20,'Grille IND'!$A$5:$F$653,6,FALSE),"")</f>
      </c>
      <c r="AC102" s="109">
        <f t="shared" si="83"/>
      </c>
      <c r="AO102" s="105">
        <f t="shared" si="54"/>
      </c>
    </row>
    <row r="103" spans="1:41" ht="15">
      <c r="A103" s="348"/>
      <c r="B103" s="139"/>
      <c r="C103" s="334"/>
      <c r="D103" s="133"/>
      <c r="E103" s="210"/>
      <c r="F103" s="213"/>
      <c r="G103" s="213">
        <f t="shared" si="71"/>
      </c>
      <c r="H103" s="213">
        <f t="shared" si="72"/>
      </c>
      <c r="I103" s="213">
        <f t="shared" si="73"/>
      </c>
      <c r="J103" s="210">
        <f t="shared" si="74"/>
      </c>
      <c r="K103" s="135">
        <f t="shared" si="75"/>
      </c>
      <c r="L103" s="210">
        <f t="shared" si="84"/>
      </c>
      <c r="M103" s="135">
        <f t="shared" si="76"/>
      </c>
      <c r="N103" s="271">
        <f>IF(AND(K103="",M103=""),"",IF(OR(SUM($O$91:$P$95,K$97:K103,M$97:M103)&lt;=25,AND(SUM($O$91:$P$95,K$96:K102,M$96:M102)&lt;=25,SUM($O$91:$P$95,K$97:K103,M$97:M103)&gt;25)),"O","N"))</f>
      </c>
      <c r="O103" s="136">
        <f>IF(OR(N103="N",N103=""),"",IF(K103="","",IF((25-SUM(O$91:O102,P$91:P102))&gt;K103,K103,25-SUM(O$91:O102,P$91:P102))))</f>
      </c>
      <c r="P103" s="135">
        <f>IF(OR(N103="N",N103=""),"",IF(M103="","",IF(25-SUM($O$91:O103,$P$91:P102)&gt;M103,M103,25-SUM($O$91:O103,$P$91:P102))))</f>
      </c>
      <c r="Q103" s="137">
        <f t="shared" si="77"/>
      </c>
      <c r="R103" s="135">
        <f t="shared" si="78"/>
      </c>
      <c r="S103" s="141">
        <f t="shared" si="79"/>
      </c>
      <c r="T103" s="31">
        <f>IF(N103="O",MAX(T$89:T102)+1,"")</f>
      </c>
      <c r="U103" s="31">
        <f>IF(Q103="O",MAX(U$89:U102)+1,"")</f>
      </c>
      <c r="V103" s="106">
        <f>IF(W103&lt;&gt;"",VLOOKUP($B$20,'Grille IND'!$A$5:$F$653,3,FALSE),"")</f>
      </c>
      <c r="W103" s="106">
        <f t="shared" si="80"/>
      </c>
      <c r="X103" s="107">
        <f>IF(Y103&lt;&gt;"",VLOOKUP($B$20,'Grille IND'!$A$5:$F$653,4,FALSE),"")</f>
      </c>
      <c r="Y103" s="107">
        <f t="shared" si="81"/>
      </c>
      <c r="Z103" s="108">
        <f>IF(AA103&lt;&gt;"",VLOOKUP($B$20,'Grille IND'!$A$5:$F$653,5,FALSE),"")</f>
      </c>
      <c r="AA103" s="108">
        <f t="shared" si="82"/>
      </c>
      <c r="AB103" s="109">
        <f>IF(AC103&lt;&gt;"",VLOOKUP($B$20,'Grille IND'!$A$5:$F$653,6,FALSE),"")</f>
      </c>
      <c r="AC103" s="109">
        <f t="shared" si="83"/>
      </c>
      <c r="AO103" s="105">
        <f t="shared" si="54"/>
      </c>
    </row>
    <row r="104" spans="1:41" ht="15">
      <c r="A104" s="348"/>
      <c r="B104" s="139"/>
      <c r="C104" s="334"/>
      <c r="D104" s="133"/>
      <c r="E104" s="210"/>
      <c r="F104" s="213"/>
      <c r="G104" s="213">
        <f t="shared" si="71"/>
      </c>
      <c r="H104" s="213">
        <f t="shared" si="72"/>
      </c>
      <c r="I104" s="213">
        <f t="shared" si="73"/>
      </c>
      <c r="J104" s="210">
        <f t="shared" si="74"/>
      </c>
      <c r="K104" s="135">
        <f t="shared" si="75"/>
      </c>
      <c r="L104" s="210">
        <f t="shared" si="84"/>
      </c>
      <c r="M104" s="135">
        <f t="shared" si="76"/>
      </c>
      <c r="N104" s="271">
        <f>IF(AND(K104="",M104=""),"",IF(OR(SUM($O$91:$P$95,K$97:K104,M$97:M104)&lt;=25,AND(SUM($O$91:$P$95,K$96:K103,M$96:M103)&lt;=25,SUM($O$91:$P$95,K$97:K104,M$97:M104)&gt;25)),"O","N"))</f>
      </c>
      <c r="O104" s="136">
        <f>IF(OR(N104="N",N104=""),"",IF(K104="","",IF((25-SUM(O$91:O103,P$91:P103))&gt;K104,K104,25-SUM(O$91:O103,P$91:P103))))</f>
      </c>
      <c r="P104" s="135">
        <f>IF(OR(N104="N",N104=""),"",IF(M104="","",IF(25-SUM($O$91:O104,$P$91:P103)&gt;M104,M104,25-SUM($O$91:O104,$P$91:P103))))</f>
      </c>
      <c r="Q104" s="137">
        <f t="shared" si="77"/>
      </c>
      <c r="R104" s="135">
        <f t="shared" si="78"/>
      </c>
      <c r="S104" s="141">
        <f t="shared" si="79"/>
      </c>
      <c r="T104" s="31">
        <f>IF(N104="O",MAX(T$89:T103)+1,"")</f>
      </c>
      <c r="U104" s="31">
        <f>IF(Q104="O",MAX(U$89:U103)+1,"")</f>
      </c>
      <c r="V104" s="106">
        <f>IF(W104&lt;&gt;"",VLOOKUP($B$20,'Grille IND'!$A$5:$F$653,3,FALSE),"")</f>
      </c>
      <c r="W104" s="106">
        <f t="shared" si="80"/>
      </c>
      <c r="X104" s="107">
        <f>IF(Y104&lt;&gt;"",VLOOKUP($B$20,'Grille IND'!$A$5:$F$653,4,FALSE),"")</f>
      </c>
      <c r="Y104" s="107">
        <f t="shared" si="81"/>
      </c>
      <c r="Z104" s="108">
        <f>IF(AA104&lt;&gt;"",VLOOKUP($B$20,'Grille IND'!$A$5:$F$653,5,FALSE),"")</f>
      </c>
      <c r="AA104" s="108">
        <f t="shared" si="82"/>
      </c>
      <c r="AB104" s="109">
        <f>IF(AC104&lt;&gt;"",VLOOKUP($B$20,'Grille IND'!$A$5:$F$653,6,FALSE),"")</f>
      </c>
      <c r="AC104" s="109">
        <f t="shared" si="83"/>
      </c>
      <c r="AO104" s="105">
        <f t="shared" si="54"/>
      </c>
    </row>
    <row r="105" spans="1:41" ht="15">
      <c r="A105" s="348"/>
      <c r="B105" s="139"/>
      <c r="C105" s="334"/>
      <c r="D105" s="133"/>
      <c r="E105" s="210"/>
      <c r="F105" s="213"/>
      <c r="G105" s="213">
        <f t="shared" si="71"/>
      </c>
      <c r="H105" s="213">
        <f t="shared" si="72"/>
      </c>
      <c r="I105" s="213">
        <f t="shared" si="73"/>
      </c>
      <c r="J105" s="210">
        <f t="shared" si="74"/>
      </c>
      <c r="K105" s="135">
        <f t="shared" si="75"/>
      </c>
      <c r="L105" s="210">
        <f t="shared" si="84"/>
      </c>
      <c r="M105" s="135">
        <f t="shared" si="76"/>
      </c>
      <c r="N105" s="271">
        <f>IF(AND(K105="",M105=""),"",IF(OR(SUM($O$91:$P$95,K$97:K105,M$97:M105)&lt;=25,AND(SUM($O$91:$P$95,K$96:K104,M$96:M104)&lt;=25,SUM($O$91:$P$95,K$97:K105,M$97:M105)&gt;25)),"O","N"))</f>
      </c>
      <c r="O105" s="136">
        <f>IF(OR(N105="N",N105=""),"",IF(K105="","",IF((25-SUM(O$91:O104,P$91:P104))&gt;K105,K105,25-SUM(O$91:O104,P$91:P104))))</f>
      </c>
      <c r="P105" s="135">
        <f>IF(OR(N105="N",N105=""),"",IF(M105="","",IF(25-SUM($O$91:O105,$P$91:P104)&gt;M105,M105,25-SUM($O$91:O105,$P$91:P104))))</f>
      </c>
      <c r="Q105" s="137">
        <f t="shared" si="77"/>
      </c>
      <c r="R105" s="135">
        <f t="shared" si="78"/>
      </c>
      <c r="S105" s="141">
        <f t="shared" si="79"/>
      </c>
      <c r="T105" s="31">
        <f>IF(N105="O",MAX(T$89:T104)+1,"")</f>
      </c>
      <c r="U105" s="31">
        <f>IF(Q105="O",MAX(U$89:U104)+1,"")</f>
      </c>
      <c r="V105" s="106">
        <f>IF(W105&lt;&gt;"",VLOOKUP($B$20,'Grille IND'!$A$5:$F$653,3,FALSE),"")</f>
      </c>
      <c r="W105" s="106">
        <f t="shared" si="80"/>
      </c>
      <c r="X105" s="107">
        <f>IF(Y105&lt;&gt;"",VLOOKUP($B$20,'Grille IND'!$A$5:$F$653,4,FALSE),"")</f>
      </c>
      <c r="Y105" s="107">
        <f t="shared" si="81"/>
      </c>
      <c r="Z105" s="108">
        <f>IF(AA105&lt;&gt;"",VLOOKUP($B$20,'Grille IND'!$A$5:$F$653,5,FALSE),"")</f>
      </c>
      <c r="AA105" s="108">
        <f t="shared" si="82"/>
      </c>
      <c r="AB105" s="109">
        <f>IF(AC105&lt;&gt;"",VLOOKUP($B$20,'Grille IND'!$A$5:$F$653,6,FALSE),"")</f>
      </c>
      <c r="AC105" s="109">
        <f t="shared" si="83"/>
      </c>
      <c r="AO105" s="105">
        <f t="shared" si="54"/>
      </c>
    </row>
    <row r="106" spans="1:41" ht="15">
      <c r="A106" s="348"/>
      <c r="B106" s="139"/>
      <c r="C106" s="334"/>
      <c r="D106" s="133"/>
      <c r="E106" s="210"/>
      <c r="F106" s="213"/>
      <c r="G106" s="213">
        <f t="shared" si="71"/>
      </c>
      <c r="H106" s="213">
        <f t="shared" si="72"/>
      </c>
      <c r="I106" s="213">
        <f t="shared" si="73"/>
      </c>
      <c r="J106" s="210">
        <f t="shared" si="74"/>
      </c>
      <c r="K106" s="135">
        <f t="shared" si="75"/>
      </c>
      <c r="L106" s="210">
        <f t="shared" si="84"/>
      </c>
      <c r="M106" s="135">
        <f t="shared" si="76"/>
      </c>
      <c r="N106" s="271">
        <f>IF(AND(K106="",M106=""),"",IF(OR(SUM($O$91:$P$95,K$97:K106,M$97:M106)&lt;=25,AND(SUM($O$91:$P$95,K$96:K105,M$96:M105)&lt;=25,SUM($O$91:$P$95,K$97:K106,M$97:M106)&gt;25)),"O","N"))</f>
      </c>
      <c r="O106" s="136">
        <f>IF(OR(N106="N",N106=""),"",IF(K106="","",IF((25-SUM(O$91:O105,P$91:P105))&gt;K106,K106,25-SUM(O$91:O105,P$91:P105))))</f>
      </c>
      <c r="P106" s="135">
        <f>IF(OR(N106="N",N106=""),"",IF(M106="","",IF(25-SUM($O$91:O106,$P$91:P105)&gt;M106,M106,25-SUM($O$91:O106,$P$91:P105))))</f>
      </c>
      <c r="Q106" s="137">
        <f t="shared" si="77"/>
      </c>
      <c r="R106" s="135">
        <f t="shared" si="78"/>
      </c>
      <c r="S106" s="141">
        <f t="shared" si="79"/>
      </c>
      <c r="T106" s="31">
        <f>IF(N106="O",MAX(T$89:T105)+1,"")</f>
      </c>
      <c r="U106" s="31">
        <f>IF(Q106="O",MAX(U$89:U105)+1,"")</f>
      </c>
      <c r="V106" s="106">
        <f>IF(W106&lt;&gt;"",VLOOKUP($B$20,'Grille IND'!$A$5:$F$653,3,FALSE),"")</f>
      </c>
      <c r="W106" s="106">
        <f t="shared" si="80"/>
      </c>
      <c r="X106" s="107">
        <f>IF(Y106&lt;&gt;"",VLOOKUP($B$20,'Grille IND'!$A$5:$F$653,4,FALSE),"")</f>
      </c>
      <c r="Y106" s="107">
        <f t="shared" si="81"/>
      </c>
      <c r="Z106" s="108">
        <f>IF(AA106&lt;&gt;"",VLOOKUP($B$20,'Grille IND'!$A$5:$F$653,5,FALSE),"")</f>
      </c>
      <c r="AA106" s="108">
        <f t="shared" si="82"/>
      </c>
      <c r="AB106" s="109">
        <f>IF(AC106&lt;&gt;"",VLOOKUP($B$20,'Grille IND'!$A$5:$F$653,6,FALSE),"")</f>
      </c>
      <c r="AC106" s="109">
        <f t="shared" si="83"/>
      </c>
      <c r="AO106" s="105">
        <f t="shared" si="54"/>
      </c>
    </row>
    <row r="107" spans="1:41" ht="15">
      <c r="A107" s="348"/>
      <c r="B107" s="139"/>
      <c r="C107" s="334"/>
      <c r="D107" s="133"/>
      <c r="E107" s="210"/>
      <c r="F107" s="213"/>
      <c r="G107" s="213">
        <f t="shared" si="71"/>
      </c>
      <c r="H107" s="213">
        <f t="shared" si="72"/>
      </c>
      <c r="I107" s="213">
        <f t="shared" si="73"/>
      </c>
      <c r="J107" s="210">
        <f t="shared" si="74"/>
      </c>
      <c r="K107" s="135">
        <f t="shared" si="75"/>
      </c>
      <c r="L107" s="210">
        <f t="shared" si="84"/>
      </c>
      <c r="M107" s="135">
        <f t="shared" si="76"/>
      </c>
      <c r="N107" s="271">
        <f>IF(AND(K107="",M107=""),"",IF(OR(SUM($O$91:$P$95,K$97:K107,M$97:M107)&lt;=25,AND(SUM($O$91:$P$95,K$96:K106,M$96:M106)&lt;=25,SUM($O$91:$P$95,K$97:K107,M$97:M107)&gt;25)),"O","N"))</f>
      </c>
      <c r="O107" s="136">
        <f>IF(OR(N107="N",N107=""),"",IF(K107="","",IF((25-SUM(O$91:O106,P$91:P106))&gt;K107,K107,25-SUM(O$91:O106,P$91:P106))))</f>
      </c>
      <c r="P107" s="135">
        <f>IF(OR(N107="N",N107=""),"",IF(M107="","",IF(25-SUM($O$91:O107,$P$91:P106)&gt;M107,M107,25-SUM($O$91:O107,$P$91:P106))))</f>
      </c>
      <c r="Q107" s="137">
        <f t="shared" si="77"/>
      </c>
      <c r="R107" s="135">
        <f t="shared" si="78"/>
      </c>
      <c r="S107" s="141">
        <f t="shared" si="79"/>
      </c>
      <c r="T107" s="31">
        <f>IF(N107="O",MAX(T$89:T106)+1,"")</f>
      </c>
      <c r="U107" s="31">
        <f>IF(Q107="O",MAX(U$89:U106)+1,"")</f>
      </c>
      <c r="V107" s="106">
        <f>IF(W107&lt;&gt;"",VLOOKUP($B$20,'Grille IND'!$A$5:$F$653,3,FALSE),"")</f>
      </c>
      <c r="W107" s="106">
        <f t="shared" si="80"/>
      </c>
      <c r="X107" s="107">
        <f>IF(Y107&lt;&gt;"",VLOOKUP($B$20,'Grille IND'!$A$5:$F$653,4,FALSE),"")</f>
      </c>
      <c r="Y107" s="107">
        <f t="shared" si="81"/>
      </c>
      <c r="Z107" s="108">
        <f>IF(AA107&lt;&gt;"",VLOOKUP($B$20,'Grille IND'!$A$5:$F$653,5,FALSE),"")</f>
      </c>
      <c r="AA107" s="108">
        <f t="shared" si="82"/>
      </c>
      <c r="AB107" s="109">
        <f>IF(AC107&lt;&gt;"",VLOOKUP($B$20,'Grille IND'!$A$5:$F$653,6,FALSE),"")</f>
      </c>
      <c r="AC107" s="109">
        <f t="shared" si="83"/>
      </c>
      <c r="AO107" s="105">
        <f t="shared" si="54"/>
      </c>
    </row>
    <row r="108" spans="1:41" ht="15">
      <c r="A108" s="348"/>
      <c r="B108" s="139"/>
      <c r="C108" s="334"/>
      <c r="D108" s="133"/>
      <c r="E108" s="210"/>
      <c r="F108" s="213"/>
      <c r="G108" s="213">
        <f t="shared" si="71"/>
      </c>
      <c r="H108" s="213">
        <f t="shared" si="72"/>
      </c>
      <c r="I108" s="213">
        <f t="shared" si="73"/>
      </c>
      <c r="J108" s="210">
        <f t="shared" si="74"/>
      </c>
      <c r="K108" s="135">
        <f t="shared" si="75"/>
      </c>
      <c r="L108" s="210">
        <f t="shared" si="84"/>
      </c>
      <c r="M108" s="135">
        <f t="shared" si="76"/>
      </c>
      <c r="N108" s="271">
        <f>IF(AND(K108="",M108=""),"",IF(OR(SUM($O$91:$P$95,K$97:K108,M$97:M108)&lt;=25,AND(SUM($O$91:$P$95,K$96:K107,M$96:M107)&lt;=25,SUM($O$91:$P$95,K$97:K108,M$97:M108)&gt;25)),"O","N"))</f>
      </c>
      <c r="O108" s="136">
        <f>IF(OR(N108="N",N108=""),"",IF(K108="","",IF((25-SUM(O$91:O107,P$91:P107))&gt;K108,K108,25-SUM(O$91:O107,P$91:P107))))</f>
      </c>
      <c r="P108" s="135">
        <f>IF(OR(N108="N",N108=""),"",IF(M108="","",IF(25-SUM($O$91:O108,$P$91:P107)&gt;M108,M108,25-SUM($O$91:O108,$P$91:P107))))</f>
      </c>
      <c r="Q108" s="137">
        <f t="shared" si="77"/>
      </c>
      <c r="R108" s="135">
        <f t="shared" si="78"/>
      </c>
      <c r="S108" s="141">
        <f t="shared" si="79"/>
      </c>
      <c r="T108" s="31">
        <f>IF(N108="O",MAX(T$89:T107)+1,"")</f>
      </c>
      <c r="U108" s="31">
        <f>IF(Q108="O",MAX(U$89:U107)+1,"")</f>
      </c>
      <c r="V108" s="106">
        <f>IF(W108&lt;&gt;"",VLOOKUP($B$20,'Grille IND'!$A$5:$F$653,3,FALSE),"")</f>
      </c>
      <c r="W108" s="106">
        <f t="shared" si="80"/>
      </c>
      <c r="X108" s="107">
        <f>IF(Y108&lt;&gt;"",VLOOKUP($B$20,'Grille IND'!$A$5:$F$653,4,FALSE),"")</f>
      </c>
      <c r="Y108" s="107">
        <f t="shared" si="81"/>
      </c>
      <c r="Z108" s="108">
        <f>IF(AA108&lt;&gt;"",VLOOKUP($B$20,'Grille IND'!$A$5:$F$653,5,FALSE),"")</f>
      </c>
      <c r="AA108" s="108">
        <f t="shared" si="82"/>
      </c>
      <c r="AB108" s="109">
        <f>IF(AC108&lt;&gt;"",VLOOKUP($B$20,'Grille IND'!$A$5:$F$653,6,FALSE),"")</f>
      </c>
      <c r="AC108" s="109">
        <f t="shared" si="83"/>
      </c>
      <c r="AO108" s="105">
        <f t="shared" si="54"/>
      </c>
    </row>
    <row r="109" spans="1:41" ht="15">
      <c r="A109" s="348"/>
      <c r="B109" s="139"/>
      <c r="C109" s="334"/>
      <c r="D109" s="133"/>
      <c r="E109" s="210"/>
      <c r="F109" s="213"/>
      <c r="G109" s="213">
        <f t="shared" si="71"/>
      </c>
      <c r="H109" s="213">
        <f t="shared" si="72"/>
      </c>
      <c r="I109" s="213">
        <f t="shared" si="73"/>
      </c>
      <c r="J109" s="210">
        <f t="shared" si="74"/>
      </c>
      <c r="K109" s="135">
        <f t="shared" si="75"/>
      </c>
      <c r="L109" s="210">
        <f t="shared" si="84"/>
      </c>
      <c r="M109" s="135">
        <f t="shared" si="76"/>
      </c>
      <c r="N109" s="271">
        <f>IF(AND(K109="",M109=""),"",IF(OR(SUM($O$91:$P$95,K$97:K109,M$97:M109)&lt;=25,AND(SUM($O$91:$P$95,K$96:K108,M$96:M108)&lt;=25,SUM($O$91:$P$95,K$97:K109,M$97:M109)&gt;25)),"O","N"))</f>
      </c>
      <c r="O109" s="136">
        <f>IF(OR(N109="N",N109=""),"",IF(K109="","",IF((25-SUM(O$91:O108,P$91:P108))&gt;K109,K109,25-SUM(O$91:O108,P$91:P108))))</f>
      </c>
      <c r="P109" s="135">
        <f>IF(OR(N109="N",N109=""),"",IF(M109="","",IF(25-SUM($O$91:O109,$P$91:P108)&gt;M109,M109,25-SUM($O$91:O109,$P$91:P108))))</f>
      </c>
      <c r="Q109" s="137">
        <f t="shared" si="77"/>
      </c>
      <c r="R109" s="135">
        <f>IF(Q109="","",IF(AND(N109="O",Q109="O"),IF(K109="","",K109-O109),IF(N109="N",IF(K109="","",K109),"")))</f>
      </c>
      <c r="S109" s="141">
        <f t="shared" si="79"/>
      </c>
      <c r="T109" s="31">
        <f>IF(N109="O",MAX(T$89:T108)+1,"")</f>
      </c>
      <c r="U109" s="31">
        <f>IF(Q109="O",MAX(U$89:U108)+1,"")</f>
      </c>
      <c r="V109" s="106">
        <f>IF(W109&lt;&gt;"",VLOOKUP($B$20,'Grille IND'!$A$5:$F$653,3,FALSE),"")</f>
      </c>
      <c r="W109" s="106">
        <f t="shared" si="80"/>
      </c>
      <c r="X109" s="107">
        <f>IF(Y109&lt;&gt;"",VLOOKUP($B$20,'Grille IND'!$A$5:$F$653,4,FALSE),"")</f>
      </c>
      <c r="Y109" s="107">
        <f t="shared" si="81"/>
      </c>
      <c r="Z109" s="108">
        <f>IF(AA109&lt;&gt;"",VLOOKUP($B$20,'Grille IND'!$A$5:$F$653,5,FALSE),"")</f>
      </c>
      <c r="AA109" s="108">
        <f t="shared" si="82"/>
      </c>
      <c r="AB109" s="109">
        <f>IF(AC109&lt;&gt;"",VLOOKUP($B$20,'Grille IND'!$A$5:$F$653,6,FALSE),"")</f>
      </c>
      <c r="AC109" s="109">
        <f t="shared" si="83"/>
      </c>
      <c r="AO109" s="105">
        <f t="shared" si="54"/>
      </c>
    </row>
    <row r="110" spans="1:41" ht="18" thickBot="1">
      <c r="A110" s="349"/>
      <c r="B110" s="183"/>
      <c r="C110" s="334"/>
      <c r="D110" s="199"/>
      <c r="E110" s="234"/>
      <c r="F110" s="235"/>
      <c r="G110" s="235"/>
      <c r="H110" s="351" t="s">
        <v>29</v>
      </c>
      <c r="I110" s="351"/>
      <c r="J110" s="211">
        <f>SUM(J97:J106)</f>
        <v>0.01388888888888884</v>
      </c>
      <c r="K110" s="165">
        <f>SUM(K91:K109)</f>
        <v>0.833333333333333</v>
      </c>
      <c r="L110" s="211">
        <f>SUM(L97:L106)</f>
        <v>1.378472222222222</v>
      </c>
      <c r="M110" s="165">
        <f>SUM(M91:M109)</f>
        <v>36.58333333333333</v>
      </c>
      <c r="N110" s="166"/>
      <c r="O110" s="336">
        <f>SUM(O95:P109)</f>
        <v>21.200000000000003</v>
      </c>
      <c r="P110" s="336"/>
      <c r="Q110" s="177"/>
      <c r="R110" s="257">
        <f>SUM(R95:R109)</f>
        <v>0.33333333333333215</v>
      </c>
      <c r="S110" s="257">
        <f>SUM(S95:S109)</f>
        <v>11.883333333333328</v>
      </c>
      <c r="V110" s="239"/>
      <c r="W110" s="239">
        <f>SUM(W91:W109)</f>
        <v>20.549999999999994</v>
      </c>
      <c r="X110" s="240"/>
      <c r="Y110" s="240">
        <f>SUM(Y91:Y109)</f>
        <v>0</v>
      </c>
      <c r="Z110" s="241"/>
      <c r="AA110" s="241">
        <f>SUM(AA91:AA109)</f>
        <v>3.950000000000003</v>
      </c>
      <c r="AB110" s="242"/>
      <c r="AC110" s="242">
        <f>SUM(AC91:AC109)</f>
        <v>0.5000000000000009</v>
      </c>
      <c r="AO110" s="105">
        <f t="shared" si="54"/>
      </c>
    </row>
    <row r="111" spans="1:41" ht="19.5" customHeight="1" thickBot="1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4"/>
      <c r="V111" s="239"/>
      <c r="W111" s="239">
        <f>SUMPRODUCT(V91:V109,W91:W109)</f>
        <v>326.9504999999999</v>
      </c>
      <c r="X111" s="240"/>
      <c r="Y111" s="240">
        <f>SUMPRODUCT(X91:X109,Y91:Y109)</f>
        <v>0</v>
      </c>
      <c r="Z111" s="241"/>
      <c r="AA111" s="241">
        <f>SUMPRODUCT(Z91:Z109,AA91:AA109)</f>
        <v>104.75400000000008</v>
      </c>
      <c r="AB111" s="242"/>
      <c r="AC111" s="242">
        <f>SUMPRODUCT(AB91:AB109,AC91:AC109)</f>
        <v>15.910000000000029</v>
      </c>
      <c r="AO111" s="105">
        <f t="shared" si="54"/>
      </c>
    </row>
    <row r="112" spans="1:41" ht="15">
      <c r="A112" s="337" t="s">
        <v>164</v>
      </c>
      <c r="B112" s="320">
        <f>VLOOKUP($B$1,INFOS!A:AU,39,FALSE)</f>
        <v>457</v>
      </c>
      <c r="C112" s="338" t="s">
        <v>31</v>
      </c>
      <c r="D112" s="405" t="s">
        <v>170</v>
      </c>
      <c r="E112" s="398"/>
      <c r="F112" s="398"/>
      <c r="G112" s="398"/>
      <c r="H112" s="398"/>
      <c r="I112" s="398"/>
      <c r="J112" s="398"/>
      <c r="K112" s="398"/>
      <c r="L112" s="398"/>
      <c r="M112" s="399"/>
      <c r="N112" s="339" t="s">
        <v>32</v>
      </c>
      <c r="O112" s="340"/>
      <c r="P112" s="340"/>
      <c r="Q112" s="341"/>
      <c r="R112" s="345">
        <f>R110</f>
        <v>0.33333333333333215</v>
      </c>
      <c r="S112" s="331">
        <f>S110</f>
        <v>11.883333333333328</v>
      </c>
      <c r="V112" s="255"/>
      <c r="W112" s="256"/>
      <c r="X112" s="256"/>
      <c r="Y112" s="256"/>
      <c r="Z112" s="256"/>
      <c r="AA112" s="256"/>
      <c r="AB112" s="256"/>
      <c r="AC112" s="256"/>
      <c r="AO112" s="397"/>
    </row>
    <row r="113" spans="1:41" ht="15">
      <c r="A113" s="337"/>
      <c r="B113" s="321">
        <f>VLOOKUP($B$1,INFOS!A:AU,40,FALSE)</f>
        <v>1</v>
      </c>
      <c r="C113" s="33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9"/>
      <c r="N113" s="342"/>
      <c r="O113" s="343"/>
      <c r="P113" s="343"/>
      <c r="Q113" s="344"/>
      <c r="R113" s="346"/>
      <c r="S113" s="332"/>
      <c r="V113" s="34"/>
      <c r="X113" s="34"/>
      <c r="Y113" s="34"/>
      <c r="Z113" s="34"/>
      <c r="AA113" s="34"/>
      <c r="AB113" s="34"/>
      <c r="AC113" s="34"/>
      <c r="AO113" s="397"/>
    </row>
    <row r="114" spans="1:41" ht="15">
      <c r="A114" s="337"/>
      <c r="B114" s="333" t="str">
        <f>VLOOKUP($B$1,INFOS!A:AU,9,FALSE)</f>
        <v>Direction Générale des Services</v>
      </c>
      <c r="C114" s="338"/>
      <c r="D114" s="171">
        <f>IF(ROWS($D$114:D114)&lt;=MAX($U$91:$U$109),INDEX($D$91:$D$109,MATCH(ROWS($D$114:D114),$U$91:$U$109,0)),"")</f>
        <v>43142</v>
      </c>
      <c r="E114" s="209">
        <f aca="true" t="shared" si="85" ref="E114:M118">IF($D114&lt;&gt;"",_xlfn.IFERROR(VLOOKUP($D114,$D$97:$S$109,COLUMN(B$1),0),""),"")</f>
        <v>0.2916666666666667</v>
      </c>
      <c r="F114" s="209">
        <f t="shared" si="85"/>
        <v>0.5104166666666666</v>
      </c>
      <c r="G114" s="209">
        <f t="shared" si="85"/>
        <v>0.21874999999999994</v>
      </c>
      <c r="H114" s="209">
        <f t="shared" si="85"/>
      </c>
      <c r="I114" s="209">
        <f t="shared" si="85"/>
      </c>
      <c r="J114" s="209">
        <f t="shared" si="85"/>
      </c>
      <c r="K114" s="160">
        <f t="shared" si="85"/>
      </c>
      <c r="L114" s="209">
        <f t="shared" si="85"/>
        <v>0.21874999999999994</v>
      </c>
      <c r="M114" s="160">
        <f t="shared" si="85"/>
        <v>5.249999999999998</v>
      </c>
      <c r="N114" s="273" t="str">
        <f>IF(OR(O114&lt;&gt;"",P114&lt;&gt;""),"O","")</f>
        <v>O</v>
      </c>
      <c r="O114" s="274">
        <f>IF(D114&lt;&gt;"",_xlfn.IFERROR(VLOOKUP($D114,$D$97:$S$109,COLUMN(O$1),0),""),"")</f>
      </c>
      <c r="P114" s="274">
        <f>IF(D114&lt;&gt;"",_xlfn.IFERROR(VLOOKUP($D114,$D$97:$S$109,COLUMN(P$1),0),""),"")</f>
        <v>1.2999999999999954</v>
      </c>
      <c r="Q114" s="275"/>
      <c r="R114" s="275"/>
      <c r="S114" s="276"/>
      <c r="T114" s="31">
        <f>IF(N114="O",MAX(T$112:T113)+1,"")</f>
        <v>1</v>
      </c>
      <c r="U114" s="31">
        <f>IF(Q114="O",MAX(U$112:U113)+1,"")</f>
      </c>
      <c r="V114" s="106">
        <f>IF(W114&lt;&gt;"",VLOOKUP($B$20,'Grille IND'!$A$5:$F$653,3,FALSE),"")</f>
      </c>
      <c r="W114" s="106">
        <f>IF(T114="","",IF(OR(AO114="D",AO114="F"),"",IF(OR(AND(N114="O",Q114="",P114&lt;=14),AND(N114="O",Q114="O",P114&lt;=14)),P114,14)))</f>
      </c>
      <c r="X114" s="107">
        <f>IF(Y114&lt;&gt;"",VLOOKUP($B$20,'Grille IND'!$A$5:$F$653,4,FALSE),"")</f>
      </c>
      <c r="Y114" s="107">
        <f>IF(T114="","",IF(OR(AO114="D",AO114="F"),"",IF(OR(AND(N114="O",Q114="",P114&gt;14),AND(N114="O",Q114="O",P114&gt;14)),P114-14,"")))</f>
      </c>
      <c r="Z114" s="108">
        <f>IF(AA114&lt;&gt;"",VLOOKUP($B$20,'Grille IND'!$A$5:$F$653,5,FALSE),"")</f>
        <v>26.52</v>
      </c>
      <c r="AA114" s="108">
        <f>IF(T114="","",IF(OR(AND(OR(AO114="D",AO114="F"),N114="O",Q114=""),AND(OR(AO114="D",AO114="F"),N114="O",Q114="O")),P114,""))</f>
        <v>1.2999999999999954</v>
      </c>
      <c r="AB114" s="109">
        <f>IF(AC114&lt;&gt;"",VLOOKUP($B$20,'Grille IND'!$A$5:$F$653,6,FALSE),"")</f>
      </c>
      <c r="AC114" s="109">
        <f>IF(T114="","",IF(O114="","",O114))</f>
      </c>
      <c r="AO114" s="105" t="str">
        <f t="shared" si="54"/>
        <v>D</v>
      </c>
    </row>
    <row r="115" spans="1:41" ht="15">
      <c r="A115" s="337"/>
      <c r="B115" s="333"/>
      <c r="C115" s="338"/>
      <c r="D115" s="171">
        <f>IF(ROWS($D$114:D115)&lt;=MAX($U$91:$U$109),INDEX($D$91:$D$109,MATCH(ROWS($D$114:D115),$U$91:$U$109,0)),"")</f>
        <v>43156</v>
      </c>
      <c r="E115" s="209">
        <f t="shared" si="85"/>
        <v>0.625</v>
      </c>
      <c r="F115" s="209">
        <f t="shared" si="85"/>
        <v>0.9305555555555555</v>
      </c>
      <c r="G115" s="209">
        <f t="shared" si="85"/>
        <v>0.30555555555555547</v>
      </c>
      <c r="H115" s="209">
        <f t="shared" si="85"/>
      </c>
      <c r="I115" s="209">
        <f t="shared" si="85"/>
        <v>0.01388888888888884</v>
      </c>
      <c r="J115" s="209">
        <f t="shared" si="85"/>
        <v>0.01388888888888884</v>
      </c>
      <c r="K115" s="160">
        <f t="shared" si="85"/>
        <v>0.33333333333333215</v>
      </c>
      <c r="L115" s="209">
        <f t="shared" si="85"/>
        <v>0.29166666666666663</v>
      </c>
      <c r="M115" s="160">
        <f t="shared" si="85"/>
        <v>6.999999999999999</v>
      </c>
      <c r="N115" s="277" t="str">
        <f>IF(OR(O115&lt;&gt;"",P115&lt;&gt;""),"O","")</f>
        <v>O</v>
      </c>
      <c r="O115" s="279">
        <f>IF(D115&lt;&gt;"",_xlfn.IFERROR(VLOOKUP($D115,$D$97:$S$109,COLUMN(O$1),0),""),"")</f>
        <v>0.33333333333333215</v>
      </c>
      <c r="P115" s="279">
        <f>IF(D115&lt;&gt;"",_xlfn.IFERROR(VLOOKUP($D115,$D$97:$S$109,COLUMN(P$1),0),""),"")</f>
        <v>6.999999999999999</v>
      </c>
      <c r="Q115" s="278"/>
      <c r="R115" s="278"/>
      <c r="S115" s="280"/>
      <c r="T115" s="31">
        <f>IF(N115="O",MAX(T$112:T114)+1,"")</f>
        <v>2</v>
      </c>
      <c r="U115" s="31">
        <f>IF(Q115="O",MAX(U$112:U114)+1,"")</f>
      </c>
      <c r="V115" s="106">
        <f>IF(W115&lt;&gt;"",VLOOKUP($B$20,'Grille IND'!$A$5:$F$653,3,FALSE),"")</f>
      </c>
      <c r="W115" s="106">
        <f>IF(T115="","",IF(OR(AO115="D",AO115="F"),"",IF(OR(AND(N115="O",Q115="",P115&lt;=14),AND(N115="O",Q115="O",P115&lt;=14)),P115,14)))</f>
      </c>
      <c r="X115" s="107">
        <f>IF(Y115&lt;&gt;"",VLOOKUP($B$20,'Grille IND'!$A$5:$F$653,4,FALSE),"")</f>
      </c>
      <c r="Y115" s="107">
        <f>IF(T115="","",IF(OR(AO115="D",AO115="F"),"",IF(OR(AND(N115="O",Q115="",P115&gt;14),AND(N115="O",Q115="O",P115&gt;14)),P115-14,"")))</f>
      </c>
      <c r="Z115" s="108">
        <f>IF(AA115&lt;&gt;"",VLOOKUP($B$20,'Grille IND'!$A$5:$F$653,5,FALSE),"")</f>
        <v>26.52</v>
      </c>
      <c r="AA115" s="108">
        <f>IF(T115="","",IF(OR(AND(OR(AO115="D",AO115="F"),N115="O",Q115=""),AND(OR(AO115="D",AO115="F"),N115="O",Q115="O")),P115,""))</f>
        <v>6.999999999999999</v>
      </c>
      <c r="AB115" s="109">
        <f>IF(AC115&lt;&gt;"",VLOOKUP($B$20,'Grille IND'!$A$5:$F$653,6,FALSE),"")</f>
        <v>31.82</v>
      </c>
      <c r="AC115" s="109">
        <f>IF(T115="","",IF(O115="","",O115))</f>
        <v>0.33333333333333215</v>
      </c>
      <c r="AO115" s="105" t="str">
        <f t="shared" si="54"/>
        <v>D</v>
      </c>
    </row>
    <row r="116" spans="1:41" ht="15">
      <c r="A116" s="337"/>
      <c r="B116" s="139"/>
      <c r="C116" s="338"/>
      <c r="D116" s="171">
        <f>IF(ROWS($D$114:D116)&lt;=MAX($U$91:$U$109),INDEX($D$91:$D$109,MATCH(ROWS($D$114:D116),$U$91:$U$109,0)),"")</f>
        <v>43157</v>
      </c>
      <c r="E116" s="209">
        <f t="shared" si="85"/>
        <v>0.7152777777777778</v>
      </c>
      <c r="F116" s="209">
        <f t="shared" si="85"/>
        <v>0.8645833333333334</v>
      </c>
      <c r="G116" s="209">
        <f t="shared" si="85"/>
        <v>0.14930555555555558</v>
      </c>
      <c r="H116" s="209">
        <f t="shared" si="85"/>
      </c>
      <c r="I116" s="209">
        <f t="shared" si="85"/>
      </c>
      <c r="J116" s="209">
        <f t="shared" si="85"/>
      </c>
      <c r="K116" s="160">
        <f t="shared" si="85"/>
      </c>
      <c r="L116" s="209">
        <f t="shared" si="85"/>
        <v>0.14930555555555558</v>
      </c>
      <c r="M116" s="160">
        <f t="shared" si="85"/>
        <v>3.583333333333334</v>
      </c>
      <c r="N116" s="277" t="str">
        <f>IF(OR(O116&lt;&gt;"",P116&lt;&gt;""),"O","")</f>
        <v>O</v>
      </c>
      <c r="O116" s="279">
        <f>IF(D116&lt;&gt;"",_xlfn.IFERROR(VLOOKUP($D116,$D$97:$S$109,COLUMN(O$1),0),""),"")</f>
      </c>
      <c r="P116" s="279">
        <f>IF(D116&lt;&gt;"",_xlfn.IFERROR(VLOOKUP($D116,$D$97:$S$109,COLUMN(P$1),0),""),"")</f>
        <v>3.583333333333334</v>
      </c>
      <c r="Q116" s="278"/>
      <c r="R116" s="278"/>
      <c r="S116" s="280"/>
      <c r="T116" s="31">
        <f>IF(N116="O",MAX(T$112:T115)+1,"")</f>
        <v>3</v>
      </c>
      <c r="U116" s="31">
        <f>IF(Q116="O",MAX(U$112:U115)+1,"")</f>
      </c>
      <c r="V116" s="106">
        <f>IF(W116&lt;&gt;"",VLOOKUP($B$20,'Grille IND'!$A$5:$F$653,3,FALSE),"")</f>
        <v>15.91</v>
      </c>
      <c r="W116" s="106">
        <f>IF(T116="","",IF(OR(AO116="D",AO116="F"),"",IF(OR(AND(N116="O",Q116="",P116&lt;=14),AND(N116="O",Q116="O",P116&lt;=14)),P116,14)))</f>
        <v>3.583333333333334</v>
      </c>
      <c r="X116" s="107">
        <f>IF(Y116&lt;&gt;"",VLOOKUP($B$20,'Grille IND'!$A$5:$F$653,4,FALSE),"")</f>
      </c>
      <c r="Y116" s="107">
        <f>IF(T116="","",IF(OR(AO116="D",AO116="F"),"",IF(OR(AND(N116="O",Q116="",P116&gt;14),AND(N116="O",Q116="O",P116&gt;14)),P116-14,"")))</f>
      </c>
      <c r="Z116" s="108">
        <f>IF(AA116&lt;&gt;"",VLOOKUP($B$20,'Grille IND'!$A$5:$F$653,5,FALSE),"")</f>
      </c>
      <c r="AA116" s="108">
        <f>IF(T116="","",IF(OR(AND(OR(AO116="D",AO116="F"),N116="O",Q116=""),AND(OR(AO116="D",AO116="F"),N116="O",Q116="O")),P116,""))</f>
      </c>
      <c r="AB116" s="109">
        <f>IF(AC116&lt;&gt;"",VLOOKUP($B$20,'Grille IND'!$A$5:$F$653,6,FALSE),"")</f>
      </c>
      <c r="AC116" s="109">
        <f>IF(T116="","",IF(O116="","",O116))</f>
      </c>
      <c r="AO116" s="105">
        <f t="shared" si="54"/>
      </c>
    </row>
    <row r="117" spans="1:41" ht="15">
      <c r="A117" s="337"/>
      <c r="B117" s="139"/>
      <c r="C117" s="338"/>
      <c r="D117" s="171">
        <f>IF(ROWS($D$114:D117)&lt;=MAX($U$91:$U$109),INDEX($D$91:$D$109,MATCH(ROWS($D$114:D117),$U$91:$U$109,0)),"")</f>
      </c>
      <c r="E117" s="209">
        <f t="shared" si="85"/>
      </c>
      <c r="F117" s="209">
        <f t="shared" si="85"/>
      </c>
      <c r="G117" s="209">
        <f t="shared" si="85"/>
      </c>
      <c r="H117" s="209">
        <f t="shared" si="85"/>
      </c>
      <c r="I117" s="209">
        <f t="shared" si="85"/>
      </c>
      <c r="J117" s="209">
        <f t="shared" si="85"/>
      </c>
      <c r="K117" s="160">
        <f t="shared" si="85"/>
      </c>
      <c r="L117" s="209">
        <f t="shared" si="85"/>
      </c>
      <c r="M117" s="160">
        <f t="shared" si="85"/>
      </c>
      <c r="N117" s="277">
        <f>IF(OR(O117&lt;&gt;"",P117&lt;&gt;""),"O","")</f>
      </c>
      <c r="O117" s="279">
        <f>IF(D117&lt;&gt;"",_xlfn.IFERROR(VLOOKUP($D117,$D$97:$S$109,COLUMN(O$1),0),""),"")</f>
      </c>
      <c r="P117" s="279">
        <f>IF(D117&lt;&gt;"",_xlfn.IFERROR(VLOOKUP($D117,$D$97:$S$109,COLUMN(P$1),0),""),"")</f>
      </c>
      <c r="Q117" s="278"/>
      <c r="R117" s="278"/>
      <c r="S117" s="280"/>
      <c r="T117" s="31">
        <f>IF(N117="O",MAX(T$112:T116)+1,"")</f>
      </c>
      <c r="U117" s="31">
        <f>IF(Q117="O",MAX(U$112:U116)+1,"")</f>
      </c>
      <c r="V117" s="106">
        <f>IF(W117&lt;&gt;"",VLOOKUP($B$20,'Grille IND'!$A$5:$F$653,3,FALSE),"")</f>
      </c>
      <c r="W117" s="106">
        <f>IF(T117="","",IF(OR(AO117="D",AO117="F"),"",IF(OR(AND(N117="O",Q117="",P117&lt;=14),AND(N117="O",Q117="O",P117&lt;=14)),P117,14)))</f>
      </c>
      <c r="X117" s="107">
        <f>IF(Y117&lt;&gt;"",VLOOKUP($B$20,'Grille IND'!$A$5:$F$653,4,FALSE),"")</f>
      </c>
      <c r="Y117" s="107">
        <f>IF(T117="","",IF(OR(AO117="D",AO117="F"),"",IF(OR(AND(N117="O",Q117="",P117&gt;14),AND(N117="O",Q117="O",P117&gt;14)),P117-14,"")))</f>
      </c>
      <c r="Z117" s="108">
        <f>IF(AA117&lt;&gt;"",VLOOKUP($B$20,'Grille IND'!$A$5:$F$653,5,FALSE),"")</f>
      </c>
      <c r="AA117" s="108">
        <f>IF(T117="","",IF(OR(AND(OR(AO117="D",AO117="F"),N117="O",Q117=""),AND(OR(AO117="D",AO117="F"),N117="O",Q117="O")),P117,""))</f>
      </c>
      <c r="AB117" s="109">
        <f>IF(AC117&lt;&gt;"",VLOOKUP($B$20,'Grille IND'!$A$5:$F$653,6,FALSE),"")</f>
      </c>
      <c r="AC117" s="109">
        <f>IF(T117="","",IF(O117="","",O117))</f>
      </c>
      <c r="AO117" s="105">
        <f t="shared" si="54"/>
      </c>
    </row>
    <row r="118" spans="1:41" ht="15">
      <c r="A118" s="337"/>
      <c r="B118" s="139"/>
      <c r="C118" s="338"/>
      <c r="D118" s="171">
        <f>IF(ROWS($D$114:D118)&lt;=MAX($U$91:$U$109),INDEX($D$91:$D$109,MATCH(ROWS($D$114:D118),$U$91:$U$109,0)),"")</f>
      </c>
      <c r="E118" s="209">
        <f t="shared" si="85"/>
      </c>
      <c r="F118" s="209">
        <f t="shared" si="85"/>
      </c>
      <c r="G118" s="209">
        <f t="shared" si="85"/>
      </c>
      <c r="H118" s="209">
        <f t="shared" si="85"/>
      </c>
      <c r="I118" s="209">
        <f t="shared" si="85"/>
      </c>
      <c r="J118" s="209">
        <f t="shared" si="85"/>
      </c>
      <c r="K118" s="160">
        <f t="shared" si="85"/>
      </c>
      <c r="L118" s="209">
        <f t="shared" si="85"/>
      </c>
      <c r="M118" s="160">
        <f t="shared" si="85"/>
      </c>
      <c r="N118" s="277">
        <f>IF(OR(O118&lt;&gt;"",P118&lt;&gt;""),"O","")</f>
      </c>
      <c r="O118" s="279">
        <f>IF(D118&lt;&gt;"",_xlfn.IFERROR(VLOOKUP($D118,$D$97:$S$109,COLUMN(O$1),0),""),"")</f>
      </c>
      <c r="P118" s="279">
        <f>IF(D118&lt;&gt;"",_xlfn.IFERROR(VLOOKUP($D118,$D$97:$S$109,COLUMN(P$1),0),""),"")</f>
      </c>
      <c r="Q118" s="278"/>
      <c r="R118" s="278"/>
      <c r="S118" s="280"/>
      <c r="T118" s="31">
        <f>IF(N118="O",MAX(T$112:T117)+1,"")</f>
      </c>
      <c r="U118" s="31">
        <f>IF(Q118="O",MAX(U$112:U117)+1,"")</f>
      </c>
      <c r="V118" s="106">
        <f>IF(W118&lt;&gt;"",VLOOKUP($B$20,'Grille IND'!$A$5:$F$653,3,FALSE),"")</f>
      </c>
      <c r="W118" s="106">
        <f>IF(T118="","",IF(OR(AO118="D",AO118="F"),"",IF(OR(AND(N118="O",Q118="",P118&lt;=14),AND(N118="O",Q118="O",P118&lt;=14)),P118,14)))</f>
      </c>
      <c r="X118" s="107">
        <f>IF(Y118&lt;&gt;"",VLOOKUP($B$20,'Grille IND'!$A$5:$F$653,4,FALSE),"")</f>
      </c>
      <c r="Y118" s="107">
        <f>IF(T118="","",IF(OR(AO118="D",AO118="F"),"",IF(OR(AND(N118="O",Q118="",P118&gt;14),AND(N118="O",Q118="O",P118&gt;14)),P118-14,"")))</f>
      </c>
      <c r="Z118" s="108">
        <f>IF(AA118&lt;&gt;"",VLOOKUP($B$20,'Grille IND'!$A$5:$F$653,5,FALSE),"")</f>
      </c>
      <c r="AA118" s="108">
        <f>IF(T118="","",IF(OR(AND(OR(AO118="D",AO118="F"),N118="O",Q118=""),AND(OR(AO118="D",AO118="F"),N118="O",Q118="O")),P118,""))</f>
      </c>
      <c r="AB118" s="109">
        <f>IF(AC118&lt;&gt;"",VLOOKUP($B$20,'Grille IND'!$A$5:$F$653,6,FALSE),"")</f>
      </c>
      <c r="AC118" s="109">
        <f>IF(T118="","",IF(O118="","",O118))</f>
      </c>
      <c r="AO118" s="105">
        <f t="shared" si="54"/>
      </c>
    </row>
    <row r="119" spans="1:41" ht="15">
      <c r="A119" s="337"/>
      <c r="B119" s="139"/>
      <c r="C119" s="338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2"/>
      <c r="T119" s="31">
        <f>IF(N119="O",MAX(T$112:T118)+1,"")</f>
      </c>
      <c r="U119" s="31">
        <f>IF(Q119="O",MAX(U$112:U118)+1,"")</f>
      </c>
      <c r="V119" s="238"/>
      <c r="W119" s="238"/>
      <c r="X119" s="252"/>
      <c r="Y119" s="252"/>
      <c r="Z119" s="253"/>
      <c r="AA119" s="253"/>
      <c r="AB119" s="254"/>
      <c r="AC119" s="254"/>
      <c r="AO119" s="105">
        <f t="shared" si="54"/>
      </c>
    </row>
    <row r="120" spans="1:41" ht="14.25" customHeight="1">
      <c r="A120" s="337"/>
      <c r="B120" s="139"/>
      <c r="C120" s="334" t="s">
        <v>27</v>
      </c>
      <c r="D120" s="133">
        <v>43164</v>
      </c>
      <c r="E120" s="210">
        <v>0.3333333333333333</v>
      </c>
      <c r="F120" s="213">
        <v>0.5416666666666666</v>
      </c>
      <c r="G120" s="213">
        <f aca="true" t="shared" si="86" ref="G120:G132">IF(AND(E120="",F120=""),"",MOD(F120-E120,1))</f>
        <v>0.20833333333333331</v>
      </c>
      <c r="H120" s="213">
        <f aca="true" t="shared" si="87" ref="H120:H132">IF(E120="","",IF($E120&lt;$AJ$3,$AJ$3-$E120,""))</f>
      </c>
      <c r="I120" s="213">
        <f aca="true" t="shared" si="88" ref="I120:I132">IF(F120="","",IF($F120&gt;$AK$3,$F120-$AK$3,""))</f>
      </c>
      <c r="J120" s="210">
        <f aca="true" t="shared" si="89" ref="J120:J132">IF(AND(H120="",I120=""),"",SUM(H120,I120))</f>
      </c>
      <c r="K120" s="135">
        <f aca="true" t="shared" si="90" ref="K120:K132">IF(J120="","",J120*24)</f>
      </c>
      <c r="L120" s="210">
        <f>IF(AND(E120="",F120=""),"",IF(J120&lt;&gt;"",G120-J120,G120))</f>
        <v>0.20833333333333331</v>
      </c>
      <c r="M120" s="135">
        <f aca="true" t="shared" si="91" ref="M120:M132">IF(L120="","",L120*24)</f>
        <v>5</v>
      </c>
      <c r="N120" s="272" t="str">
        <f>IF(AND(K120="",M120=""),"",IF(OR(SUM($O$114:$P$118,K$120:K120,M$120:M120)&lt;=25,AND(SUM($O$114:$P$118,K$119:K119,M$119:M119)&lt;=25,SUM($O$114:$P$118,K$120:K120,M$120:M120)&gt;25)),"O","N"))</f>
        <v>O</v>
      </c>
      <c r="O120" s="196">
        <f>IF(OR(N120="N",N120=""),"",IF(K120="","",IF((25-SUM(O$114:O119,P$114:P119))&gt;K120,K120,25-SUM(O$114:O119,P$114:P119))))</f>
      </c>
      <c r="P120" s="135">
        <f>IF(OR(N120="N",N120=""),"",IF(M120="","",IF(25-SUM($O$114:O120,$P$114:P119)&gt;M120,M120,25-SUM($O$114:O120,$P$114:P119))))</f>
        <v>5</v>
      </c>
      <c r="Q120" s="137">
        <f aca="true" t="shared" si="92" ref="Q120:Q132">IF(AND(N120="O",SUM(O120,P120)=SUM(K120,M120)),"",IF(AND(N120="O",SUM(O120,P120)&lt;SUM(K120,M120)),"O",IF(N120="N","O","")))</f>
      </c>
      <c r="R120" s="135">
        <f aca="true" t="shared" si="93" ref="R120:R132">IF(Q120="","",IF(AND(N120="O",Q120="O"),IF(K120="","",K120-O120),IF(N120="N",IF(K120="","",K120),"")))</f>
      </c>
      <c r="S120" s="141">
        <f aca="true" t="shared" si="94" ref="S120:S132">IF(Q120="","",IF(AND(N120="O",Q120="O"),IF(M120="","",M120-P120),IF(N120="N",IF(M120="","",M120),"")))</f>
      </c>
      <c r="T120" s="31">
        <f>IF(N120="O",MAX(T$112:T119)+1,"")</f>
        <v>4</v>
      </c>
      <c r="U120" s="31">
        <f>IF(Q120="O",MAX(U$112:U119)+1,"")</f>
      </c>
      <c r="V120" s="106">
        <f>IF(W120&lt;&gt;"",VLOOKUP($B$20,'Grille IND'!$A$5:$F$653,3,FALSE),"")</f>
        <v>15.91</v>
      </c>
      <c r="W120" s="106">
        <f aca="true" t="shared" si="95" ref="W120:W132">IF(T120="","",IF(OR(AO120="D",AO120="F"),"",IF(OR(AND(N120="O",Q120="",P120&lt;=14),AND(N120="O",Q120="O",P120&lt;=14)),P120,14)))</f>
        <v>5</v>
      </c>
      <c r="X120" s="107">
        <f>IF(Y120&lt;&gt;"",VLOOKUP($B$20,'Grille IND'!$A$5:$F$653,4,FALSE),"")</f>
      </c>
      <c r="Y120" s="107">
        <f aca="true" t="shared" si="96" ref="Y120:Y132">IF(T120="","",IF(OR(AO120="D",AO120="F"),"",IF(OR(AND(N120="O",Q120="",P120&gt;14),AND(N120="O",Q120="O",P120&gt;14)),P120-14,"")))</f>
      </c>
      <c r="Z120" s="108">
        <f>IF(AA120&lt;&gt;"",VLOOKUP($B$20,'Grille IND'!$A$5:$F$653,5,FALSE),"")</f>
      </c>
      <c r="AA120" s="108">
        <f aca="true" t="shared" si="97" ref="AA120:AA132">IF(T120="","",IF(OR(AND(OR(AO120="D",AO120="F"),N120="O",Q120=""),AND(OR(AO120="D",AO120="F"),N120="O",Q120="O")),P120,""))</f>
      </c>
      <c r="AB120" s="109">
        <f>IF(AC120&lt;&gt;"",VLOOKUP($B$20,'Grille IND'!$A$5:$F$653,6,FALSE),"")</f>
      </c>
      <c r="AC120" s="109">
        <f aca="true" t="shared" si="98" ref="AC120:AC132">IF(T120="","",IF(O120="","",O120))</f>
      </c>
      <c r="AO120" s="105">
        <f t="shared" si="54"/>
      </c>
    </row>
    <row r="121" spans="1:41" ht="15">
      <c r="A121" s="337"/>
      <c r="B121" s="139"/>
      <c r="C121" s="334"/>
      <c r="D121" s="133">
        <v>43169</v>
      </c>
      <c r="E121" s="210">
        <v>0.34375</v>
      </c>
      <c r="F121" s="213">
        <v>0.8541666666666666</v>
      </c>
      <c r="G121" s="213">
        <f t="shared" si="86"/>
        <v>0.5104166666666666</v>
      </c>
      <c r="H121" s="213">
        <f t="shared" si="87"/>
      </c>
      <c r="I121" s="213">
        <f t="shared" si="88"/>
      </c>
      <c r="J121" s="210">
        <f t="shared" si="89"/>
      </c>
      <c r="K121" s="135">
        <f t="shared" si="90"/>
      </c>
      <c r="L121" s="210">
        <f aca="true" t="shared" si="99" ref="L121:L132">IF(AND(E121="",F121=""),"",IF(J121&lt;&gt;"",G121-J121,G121))</f>
        <v>0.5104166666666666</v>
      </c>
      <c r="M121" s="135">
        <f t="shared" si="91"/>
        <v>12.25</v>
      </c>
      <c r="N121" s="272" t="str">
        <f>IF(AND(K121="",M121=""),"",IF(OR(SUM($O$114:$P$118,K$120:K121,M$120:M121)&lt;=25,AND(SUM($O$114:$P$118,K$119:K120,M$119:M120)&lt;=25,SUM($O$114:$P$118,K$120:K121,M$120:M121)&gt;25)),"O","N"))</f>
        <v>O</v>
      </c>
      <c r="O121" s="196">
        <f>IF(OR(N121="N",N121=""),"",IF(K121="","",IF((25-SUM(O$114:O120,P$114:P120))&gt;K121,K121,25-SUM(O$114:O120,P$114:P120))))</f>
      </c>
      <c r="P121" s="135">
        <f>IF(OR(N121="N",N121=""),"",IF(M121="","",IF(25-SUM($O$114:O121,$P$114:P120)&gt;M121,M121,25-SUM($O$114:O121,$P$114:P120))))</f>
        <v>7.7833333333333385</v>
      </c>
      <c r="Q121" s="137" t="str">
        <f t="shared" si="92"/>
        <v>O</v>
      </c>
      <c r="R121" s="135">
        <f t="shared" si="93"/>
      </c>
      <c r="S121" s="141">
        <f t="shared" si="94"/>
        <v>4.4666666666666615</v>
      </c>
      <c r="T121" s="31">
        <f>IF(N121="O",MAX(T$112:T120)+1,"")</f>
        <v>5</v>
      </c>
      <c r="U121" s="31">
        <f>IF(Q121="O",MAX(U$112:U120)+1,"")</f>
        <v>1</v>
      </c>
      <c r="V121" s="106">
        <f>IF(W121&lt;&gt;"",VLOOKUP($B$20,'Grille IND'!$A$5:$F$653,3,FALSE),"")</f>
        <v>15.91</v>
      </c>
      <c r="W121" s="106">
        <f t="shared" si="95"/>
        <v>7.7833333333333385</v>
      </c>
      <c r="X121" s="107">
        <f>IF(Y121&lt;&gt;"",VLOOKUP($B$20,'Grille IND'!$A$5:$F$653,4,FALSE),"")</f>
      </c>
      <c r="Y121" s="107">
        <f t="shared" si="96"/>
      </c>
      <c r="Z121" s="108">
        <f>IF(AA121&lt;&gt;"",VLOOKUP($B$20,'Grille IND'!$A$5:$F$653,5,FALSE),"")</f>
      </c>
      <c r="AA121" s="108">
        <f t="shared" si="97"/>
      </c>
      <c r="AB121" s="109">
        <f>IF(AC121&lt;&gt;"",VLOOKUP($B$20,'Grille IND'!$A$5:$F$653,6,FALSE),"")</f>
      </c>
      <c r="AC121" s="109">
        <f t="shared" si="98"/>
      </c>
      <c r="AO121" s="105">
        <f t="shared" si="54"/>
      </c>
    </row>
    <row r="122" spans="1:41" ht="15">
      <c r="A122" s="337"/>
      <c r="B122" s="139"/>
      <c r="C122" s="334"/>
      <c r="D122" s="133">
        <v>43170</v>
      </c>
      <c r="E122" s="210">
        <v>0.2916666666666667</v>
      </c>
      <c r="F122" s="213">
        <v>0.5104166666666666</v>
      </c>
      <c r="G122" s="213">
        <f t="shared" si="86"/>
        <v>0.21874999999999994</v>
      </c>
      <c r="H122" s="213">
        <f t="shared" si="87"/>
      </c>
      <c r="I122" s="213">
        <f t="shared" si="88"/>
      </c>
      <c r="J122" s="210">
        <f t="shared" si="89"/>
      </c>
      <c r="K122" s="135">
        <f t="shared" si="90"/>
      </c>
      <c r="L122" s="210">
        <f t="shared" si="99"/>
        <v>0.21874999999999994</v>
      </c>
      <c r="M122" s="135">
        <f t="shared" si="91"/>
        <v>5.249999999999998</v>
      </c>
      <c r="N122" s="272" t="str">
        <f>IF(AND(K122="",M122=""),"",IF(OR(SUM($O$114:$P$118,K$120:K122,M$120:M122)&lt;=25,AND(SUM($O$114:$P$118,K$119:K121,M$119:M121)&lt;=25,SUM($O$114:$P$118,K$120:K122,M$120:M122)&gt;25)),"O","N"))</f>
        <v>N</v>
      </c>
      <c r="O122" s="196">
        <f>IF(OR(N122="N",N122=""),"",IF(K122="","",IF((25-SUM(O$114:O121,P$114:P121))&gt;K122,K122,25-SUM(O$114:O121,P$114:P121))))</f>
      </c>
      <c r="P122" s="135">
        <f>IF(OR(N122="N",N122=""),"",IF(M122="","",IF(25-SUM($O$114:O122,$P$114:P121)&gt;M122,M122,25-SUM($O$114:O122,$P$114:P121))))</f>
      </c>
      <c r="Q122" s="137" t="str">
        <f t="shared" si="92"/>
        <v>O</v>
      </c>
      <c r="R122" s="135">
        <f t="shared" si="93"/>
      </c>
      <c r="S122" s="141">
        <f t="shared" si="94"/>
        <v>5.249999999999998</v>
      </c>
      <c r="T122" s="31">
        <f>IF(N122="O",MAX(T$112:T121)+1,"")</f>
      </c>
      <c r="U122" s="31">
        <f>IF(Q122="O",MAX(U$112:U121)+1,"")</f>
        <v>2</v>
      </c>
      <c r="V122" s="106">
        <f>IF(W122&lt;&gt;"",VLOOKUP($B$20,'Grille IND'!$A$5:$F$653,3,FALSE),"")</f>
      </c>
      <c r="W122" s="106">
        <f t="shared" si="95"/>
      </c>
      <c r="X122" s="107">
        <f>IF(Y122&lt;&gt;"",VLOOKUP($B$20,'Grille IND'!$A$5:$F$653,4,FALSE),"")</f>
      </c>
      <c r="Y122" s="107">
        <f t="shared" si="96"/>
      </c>
      <c r="Z122" s="108">
        <f>IF(AA122&lt;&gt;"",VLOOKUP($B$20,'Grille IND'!$A$5:$F$653,5,FALSE),"")</f>
      </c>
      <c r="AA122" s="108">
        <f t="shared" si="97"/>
      </c>
      <c r="AB122" s="109">
        <f>IF(AC122&lt;&gt;"",VLOOKUP($B$20,'Grille IND'!$A$5:$F$653,6,FALSE),"")</f>
      </c>
      <c r="AC122" s="109">
        <f t="shared" si="98"/>
      </c>
      <c r="AO122" s="105" t="str">
        <f t="shared" si="54"/>
        <v>D</v>
      </c>
    </row>
    <row r="123" spans="1:41" ht="15">
      <c r="A123" s="337"/>
      <c r="B123" s="139"/>
      <c r="C123" s="334"/>
      <c r="D123" s="133">
        <v>43184</v>
      </c>
      <c r="E123" s="210">
        <v>0.625</v>
      </c>
      <c r="F123" s="213">
        <v>0.9305555555555555</v>
      </c>
      <c r="G123" s="213">
        <f t="shared" si="86"/>
        <v>0.30555555555555547</v>
      </c>
      <c r="H123" s="213">
        <f t="shared" si="87"/>
      </c>
      <c r="I123" s="213">
        <f t="shared" si="88"/>
        <v>0.01388888888888884</v>
      </c>
      <c r="J123" s="210">
        <f t="shared" si="89"/>
        <v>0.01388888888888884</v>
      </c>
      <c r="K123" s="135">
        <f t="shared" si="90"/>
        <v>0.33333333333333215</v>
      </c>
      <c r="L123" s="210">
        <f t="shared" si="99"/>
        <v>0.29166666666666663</v>
      </c>
      <c r="M123" s="135">
        <f t="shared" si="91"/>
        <v>6.999999999999999</v>
      </c>
      <c r="N123" s="272" t="str">
        <f>IF(AND(K123="",M123=""),"",IF(OR(SUM($O$114:$P$118,K$120:K123,M$120:M123)&lt;=25,AND(SUM($O$114:$P$118,K$119:K122,M$119:M122)&lt;=25,SUM($O$114:$P$118,K$120:K123,M$120:M123)&gt;25)),"O","N"))</f>
        <v>N</v>
      </c>
      <c r="O123" s="196">
        <f>IF(OR(N123="N",N123=""),"",IF(K123="","",IF((25-SUM(O$114:O122,P$114:P122))&gt;K123,K123,25-SUM(O$114:O122,P$114:P122))))</f>
      </c>
      <c r="P123" s="135">
        <f>IF(OR(N123="N",N123=""),"",IF(M123="","",IF(25-SUM($O$114:O123,$P$114:P122)&gt;M123,M123,25-SUM($O$114:O123,$P$114:P122))))</f>
      </c>
      <c r="Q123" s="137" t="str">
        <f t="shared" si="92"/>
        <v>O</v>
      </c>
      <c r="R123" s="135">
        <f t="shared" si="93"/>
        <v>0.33333333333333215</v>
      </c>
      <c r="S123" s="141">
        <f t="shared" si="94"/>
        <v>6.999999999999999</v>
      </c>
      <c r="T123" s="31">
        <f>IF(N123="O",MAX(T$112:T122)+1,"")</f>
      </c>
      <c r="U123" s="31">
        <f>IF(Q123="O",MAX(U$112:U122)+1,"")</f>
        <v>3</v>
      </c>
      <c r="V123" s="106">
        <f>IF(W123&lt;&gt;"",VLOOKUP($B$20,'Grille IND'!$A$5:$F$653,3,FALSE),"")</f>
      </c>
      <c r="W123" s="106">
        <f t="shared" si="95"/>
      </c>
      <c r="X123" s="107">
        <f>IF(Y123&lt;&gt;"",VLOOKUP($B$20,'Grille IND'!$A$5:$F$653,4,FALSE),"")</f>
      </c>
      <c r="Y123" s="107">
        <f t="shared" si="96"/>
      </c>
      <c r="Z123" s="108">
        <f>IF(AA123&lt;&gt;"",VLOOKUP($B$20,'Grille IND'!$A$5:$F$653,5,FALSE),"")</f>
      </c>
      <c r="AA123" s="108">
        <f t="shared" si="97"/>
      </c>
      <c r="AB123" s="109">
        <f>IF(AC123&lt;&gt;"",VLOOKUP($B$20,'Grille IND'!$A$5:$F$653,6,FALSE),"")</f>
      </c>
      <c r="AC123" s="109">
        <f t="shared" si="98"/>
      </c>
      <c r="AO123" s="105" t="str">
        <f t="shared" si="54"/>
        <v>D</v>
      </c>
    </row>
    <row r="124" spans="1:41" ht="15">
      <c r="A124" s="337"/>
      <c r="B124" s="139"/>
      <c r="C124" s="334"/>
      <c r="D124" s="133"/>
      <c r="E124" s="210"/>
      <c r="F124" s="213"/>
      <c r="G124" s="213">
        <f t="shared" si="86"/>
      </c>
      <c r="H124" s="213">
        <f t="shared" si="87"/>
      </c>
      <c r="I124" s="213">
        <f t="shared" si="88"/>
      </c>
      <c r="J124" s="210">
        <f t="shared" si="89"/>
      </c>
      <c r="K124" s="135">
        <f t="shared" si="90"/>
      </c>
      <c r="L124" s="210">
        <f t="shared" si="99"/>
      </c>
      <c r="M124" s="135">
        <f t="shared" si="91"/>
      </c>
      <c r="N124" s="272">
        <f>IF(AND(K124="",M124=""),"",IF(OR(SUM($O$114:$P$118,K$120:K124,M$120:M124)&lt;=25,AND(SUM($O$114:$P$118,K$119:K123,M$119:M123)&lt;=25,SUM($O$114:$P$118,K$120:K124,M$120:M124)&gt;25)),"O","N"))</f>
      </c>
      <c r="O124" s="196">
        <f>IF(OR(N124="N",N124=""),"",IF(K124="","",IF((25-SUM(O$114:O123,P$114:P123))&gt;K124,K124,25-SUM(O$114:O123,P$114:P123))))</f>
      </c>
      <c r="P124" s="135">
        <f>IF(OR(N124="N",N124=""),"",IF(M124="","",IF(25-SUM($O$114:O124,$P$114:P123)&gt;M124,M124,25-SUM($O$114:O124,$P$114:P123))))</f>
      </c>
      <c r="Q124" s="137">
        <f t="shared" si="92"/>
      </c>
      <c r="R124" s="135">
        <f t="shared" si="93"/>
      </c>
      <c r="S124" s="141">
        <f t="shared" si="94"/>
      </c>
      <c r="T124" s="31">
        <f>IF(N124="O",MAX(T$112:T123)+1,"")</f>
      </c>
      <c r="U124" s="31">
        <f>IF(Q124="O",MAX(U$112:U123)+1,"")</f>
      </c>
      <c r="V124" s="106">
        <f>IF(W124&lt;&gt;"",VLOOKUP($B$20,'Grille IND'!$A$5:$F$653,3,FALSE),"")</f>
      </c>
      <c r="W124" s="106">
        <f t="shared" si="95"/>
      </c>
      <c r="X124" s="107">
        <f>IF(Y124&lt;&gt;"",VLOOKUP($B$20,'Grille IND'!$A$5:$F$653,4,FALSE),"")</f>
      </c>
      <c r="Y124" s="107">
        <f t="shared" si="96"/>
      </c>
      <c r="Z124" s="108">
        <f>IF(AA124&lt;&gt;"",VLOOKUP($B$20,'Grille IND'!$A$5:$F$653,5,FALSE),"")</f>
      </c>
      <c r="AA124" s="108">
        <f t="shared" si="97"/>
      </c>
      <c r="AB124" s="109">
        <f>IF(AC124&lt;&gt;"",VLOOKUP($B$20,'Grille IND'!$A$5:$F$653,6,FALSE),"")</f>
      </c>
      <c r="AC124" s="109">
        <f t="shared" si="98"/>
      </c>
      <c r="AO124" s="105">
        <f t="shared" si="54"/>
      </c>
    </row>
    <row r="125" spans="1:41" ht="15">
      <c r="A125" s="337"/>
      <c r="B125" s="139"/>
      <c r="C125" s="334"/>
      <c r="D125" s="133"/>
      <c r="E125" s="210"/>
      <c r="F125" s="213"/>
      <c r="G125" s="213">
        <f t="shared" si="86"/>
      </c>
      <c r="H125" s="213">
        <f t="shared" si="87"/>
      </c>
      <c r="I125" s="213">
        <f t="shared" si="88"/>
      </c>
      <c r="J125" s="210">
        <f t="shared" si="89"/>
      </c>
      <c r="K125" s="135">
        <f t="shared" si="90"/>
      </c>
      <c r="L125" s="210">
        <f t="shared" si="99"/>
      </c>
      <c r="M125" s="135">
        <f t="shared" si="91"/>
      </c>
      <c r="N125" s="272">
        <f>IF(AND(K125="",M125=""),"",IF(OR(SUM($O$114:$P$118,K$120:K125,M$120:M125)&lt;=25,AND(SUM($O$114:$P$118,K$119:K124,M$119:M124)&lt;=25,SUM($O$114:$P$118,K$120:K125,M$120:M125)&gt;25)),"O","N"))</f>
      </c>
      <c r="O125" s="196">
        <f>IF(OR(N125="N",N125=""),"",IF(K125="","",IF((25-SUM(O$114:O124,P$114:P124))&gt;K125,K125,25-SUM(O$114:O124,P$114:P124))))</f>
      </c>
      <c r="P125" s="135">
        <f>IF(OR(N125="N",N125=""),"",IF(M125="","",IF(25-SUM($O$114:O125,$P$114:P124)&gt;M125,M125,25-SUM($O$114:O125,$P$114:P124))))</f>
      </c>
      <c r="Q125" s="137">
        <f t="shared" si="92"/>
      </c>
      <c r="R125" s="135">
        <f t="shared" si="93"/>
      </c>
      <c r="S125" s="141">
        <f t="shared" si="94"/>
      </c>
      <c r="T125" s="31">
        <f>IF(N125="O",MAX(T$112:T124)+1,"")</f>
      </c>
      <c r="U125" s="31">
        <f>IF(Q125="O",MAX(U$112:U124)+1,"")</f>
      </c>
      <c r="V125" s="106">
        <f>IF(W125&lt;&gt;"",VLOOKUP($B$20,'Grille IND'!$A$5:$F$653,3,FALSE),"")</f>
      </c>
      <c r="W125" s="106">
        <f t="shared" si="95"/>
      </c>
      <c r="X125" s="107">
        <f>IF(Y125&lt;&gt;"",VLOOKUP($B$20,'Grille IND'!$A$5:$F$653,4,FALSE),"")</f>
      </c>
      <c r="Y125" s="107">
        <f t="shared" si="96"/>
      </c>
      <c r="Z125" s="108">
        <f>IF(AA125&lt;&gt;"",VLOOKUP($B$20,'Grille IND'!$A$5:$F$653,5,FALSE),"")</f>
      </c>
      <c r="AA125" s="108">
        <f t="shared" si="97"/>
      </c>
      <c r="AB125" s="109">
        <f>IF(AC125&lt;&gt;"",VLOOKUP($B$20,'Grille IND'!$A$5:$F$653,6,FALSE),"")</f>
      </c>
      <c r="AC125" s="109">
        <f t="shared" si="98"/>
      </c>
      <c r="AO125" s="105">
        <f t="shared" si="54"/>
      </c>
    </row>
    <row r="126" spans="1:41" ht="15">
      <c r="A126" s="337"/>
      <c r="B126" s="139"/>
      <c r="C126" s="334"/>
      <c r="D126" s="133"/>
      <c r="E126" s="210"/>
      <c r="F126" s="213"/>
      <c r="G126" s="213">
        <f t="shared" si="86"/>
      </c>
      <c r="H126" s="213">
        <f t="shared" si="87"/>
      </c>
      <c r="I126" s="213">
        <f t="shared" si="88"/>
      </c>
      <c r="J126" s="210">
        <f t="shared" si="89"/>
      </c>
      <c r="K126" s="135">
        <f t="shared" si="90"/>
      </c>
      <c r="L126" s="210">
        <f t="shared" si="99"/>
      </c>
      <c r="M126" s="135">
        <f t="shared" si="91"/>
      </c>
      <c r="N126" s="272">
        <f>IF(AND(K126="",M126=""),"",IF(OR(SUM($O$114:$P$118,K$120:K126,M$120:M126)&lt;=25,AND(SUM($O$114:$P$118,K$119:K125,M$119:M125)&lt;=25,SUM($O$114:$P$118,K$120:K126,M$120:M126)&gt;25)),"O","N"))</f>
      </c>
      <c r="O126" s="196">
        <f>IF(OR(N126="N",N126=""),"",IF(K126="","",IF((25-SUM(O$114:O125,P$114:P125))&gt;K126,K126,25-SUM(O$114:O125,P$114:P125))))</f>
      </c>
      <c r="P126" s="135">
        <f>IF(OR(N126="N",N126=""),"",IF(M126="","",IF(25-SUM($O$114:O126,$P$114:P125)&gt;M126,M126,25-SUM($O$114:O126,$P$114:P125))))</f>
      </c>
      <c r="Q126" s="137">
        <f t="shared" si="92"/>
      </c>
      <c r="R126" s="135">
        <f t="shared" si="93"/>
      </c>
      <c r="S126" s="141">
        <f t="shared" si="94"/>
      </c>
      <c r="T126" s="31">
        <f>IF(N126="O",MAX(T$112:T125)+1,"")</f>
      </c>
      <c r="U126" s="31">
        <f>IF(Q126="O",MAX(U$112:U125)+1,"")</f>
      </c>
      <c r="V126" s="106">
        <f>IF(W126&lt;&gt;"",VLOOKUP($B$20,'Grille IND'!$A$5:$F$653,3,FALSE),"")</f>
      </c>
      <c r="W126" s="106">
        <f t="shared" si="95"/>
      </c>
      <c r="X126" s="107">
        <f>IF(Y126&lt;&gt;"",VLOOKUP($B$20,'Grille IND'!$A$5:$F$653,4,FALSE),"")</f>
      </c>
      <c r="Y126" s="107">
        <f t="shared" si="96"/>
      </c>
      <c r="Z126" s="108">
        <f>IF(AA126&lt;&gt;"",VLOOKUP($B$20,'Grille IND'!$A$5:$F$653,5,FALSE),"")</f>
      </c>
      <c r="AA126" s="108">
        <f t="shared" si="97"/>
      </c>
      <c r="AB126" s="109">
        <f>IF(AC126&lt;&gt;"",VLOOKUP($B$20,'Grille IND'!$A$5:$F$653,6,FALSE),"")</f>
      </c>
      <c r="AC126" s="109">
        <f t="shared" si="98"/>
      </c>
      <c r="AO126" s="105">
        <f t="shared" si="54"/>
      </c>
    </row>
    <row r="127" spans="1:41" ht="15">
      <c r="A127" s="337"/>
      <c r="B127" s="139"/>
      <c r="C127" s="334"/>
      <c r="D127" s="133"/>
      <c r="E127" s="210"/>
      <c r="F127" s="213"/>
      <c r="G127" s="213">
        <f t="shared" si="86"/>
      </c>
      <c r="H127" s="213">
        <f t="shared" si="87"/>
      </c>
      <c r="I127" s="213">
        <f t="shared" si="88"/>
      </c>
      <c r="J127" s="210">
        <f t="shared" si="89"/>
      </c>
      <c r="K127" s="135">
        <f t="shared" si="90"/>
      </c>
      <c r="L127" s="210">
        <f t="shared" si="99"/>
      </c>
      <c r="M127" s="135">
        <f t="shared" si="91"/>
      </c>
      <c r="N127" s="272">
        <f>IF(AND(K127="",M127=""),"",IF(OR(SUM($O$114:$P$118,K$120:K127,M$120:M127)&lt;=25,AND(SUM($O$114:$P$118,K$119:K126,M$119:M126)&lt;=25,SUM($O$114:$P$118,K$120:K127,M$120:M127)&gt;25)),"O","N"))</f>
      </c>
      <c r="O127" s="196">
        <f>IF(OR(N127="N",N127=""),"",IF(K127="","",IF((25-SUM(O$114:O126,P$114:P126))&gt;K127,K127,25-SUM(O$114:O126,P$114:P126))))</f>
      </c>
      <c r="P127" s="135">
        <f>IF(OR(N127="N",N127=""),"",IF(M127="","",IF(25-SUM($O$114:O127,$P$114:P126)&gt;M127,M127,25-SUM($O$114:O127,$P$114:P126))))</f>
      </c>
      <c r="Q127" s="137">
        <f t="shared" si="92"/>
      </c>
      <c r="R127" s="135">
        <f t="shared" si="93"/>
      </c>
      <c r="S127" s="141">
        <f t="shared" si="94"/>
      </c>
      <c r="T127" s="31">
        <f>IF(N127="O",MAX(T$112:T126)+1,"")</f>
      </c>
      <c r="U127" s="31">
        <f>IF(Q127="O",MAX(U$112:U126)+1,"")</f>
      </c>
      <c r="V127" s="106">
        <f>IF(W127&lt;&gt;"",VLOOKUP($B$20,'Grille IND'!$A$5:$F$653,3,FALSE),"")</f>
      </c>
      <c r="W127" s="106">
        <f t="shared" si="95"/>
      </c>
      <c r="X127" s="107">
        <f>IF(Y127&lt;&gt;"",VLOOKUP($B$20,'Grille IND'!$A$5:$F$653,4,FALSE),"")</f>
      </c>
      <c r="Y127" s="107">
        <f t="shared" si="96"/>
      </c>
      <c r="Z127" s="108">
        <f>IF(AA127&lt;&gt;"",VLOOKUP($B$20,'Grille IND'!$A$5:$F$653,5,FALSE),"")</f>
      </c>
      <c r="AA127" s="108">
        <f t="shared" si="97"/>
      </c>
      <c r="AB127" s="109">
        <f>IF(AC127&lt;&gt;"",VLOOKUP($B$20,'Grille IND'!$A$5:$F$653,6,FALSE),"")</f>
      </c>
      <c r="AC127" s="109">
        <f t="shared" si="98"/>
      </c>
      <c r="AO127" s="105">
        <f t="shared" si="54"/>
      </c>
    </row>
    <row r="128" spans="1:41" ht="15">
      <c r="A128" s="337"/>
      <c r="B128" s="139"/>
      <c r="C128" s="334"/>
      <c r="D128" s="133"/>
      <c r="E128" s="210"/>
      <c r="F128" s="213"/>
      <c r="G128" s="213">
        <f t="shared" si="86"/>
      </c>
      <c r="H128" s="213">
        <f t="shared" si="87"/>
      </c>
      <c r="I128" s="213">
        <f t="shared" si="88"/>
      </c>
      <c r="J128" s="210">
        <f t="shared" si="89"/>
      </c>
      <c r="K128" s="135">
        <f t="shared" si="90"/>
      </c>
      <c r="L128" s="210">
        <f t="shared" si="99"/>
      </c>
      <c r="M128" s="135">
        <f t="shared" si="91"/>
      </c>
      <c r="N128" s="272">
        <f>IF(AND(K128="",M128=""),"",IF(OR(SUM($O$114:$P$118,K$120:K128,M$120:M128)&lt;=25,AND(SUM($O$114:$P$118,K$119:K127,M$119:M127)&lt;=25,SUM($O$114:$P$118,K$120:K128,M$120:M128)&gt;25)),"O","N"))</f>
      </c>
      <c r="O128" s="196">
        <f>IF(OR(N128="N",N128=""),"",IF(K128="","",IF((25-SUM(O$114:O127,P$114:P127))&gt;K128,K128,25-SUM(O$114:O127,P$114:P127))))</f>
      </c>
      <c r="P128" s="135">
        <f>IF(OR(N128="N",N128=""),"",IF(M128="","",IF(25-SUM($O$114:O128,$P$114:P127)&gt;M128,M128,25-SUM($O$114:O128,$P$114:P127))))</f>
      </c>
      <c r="Q128" s="137">
        <f t="shared" si="92"/>
      </c>
      <c r="R128" s="135">
        <f t="shared" si="93"/>
      </c>
      <c r="S128" s="141">
        <f t="shared" si="94"/>
      </c>
      <c r="T128" s="31">
        <f>IF(N128="O",MAX(T$112:T127)+1,"")</f>
      </c>
      <c r="U128" s="31">
        <f>IF(Q128="O",MAX(U$112:U127)+1,"")</f>
      </c>
      <c r="V128" s="106">
        <f>IF(W128&lt;&gt;"",VLOOKUP($B$20,'Grille IND'!$A$5:$F$653,3,FALSE),"")</f>
      </c>
      <c r="W128" s="106">
        <f t="shared" si="95"/>
      </c>
      <c r="X128" s="107">
        <f>IF(Y128&lt;&gt;"",VLOOKUP($B$20,'Grille IND'!$A$5:$F$653,4,FALSE),"")</f>
      </c>
      <c r="Y128" s="107">
        <f t="shared" si="96"/>
      </c>
      <c r="Z128" s="108">
        <f>IF(AA128&lt;&gt;"",VLOOKUP($B$20,'Grille IND'!$A$5:$F$653,5,FALSE),"")</f>
      </c>
      <c r="AA128" s="108">
        <f t="shared" si="97"/>
      </c>
      <c r="AB128" s="109">
        <f>IF(AC128&lt;&gt;"",VLOOKUP($B$20,'Grille IND'!$A$5:$F$653,6,FALSE),"")</f>
      </c>
      <c r="AC128" s="109">
        <f t="shared" si="98"/>
      </c>
      <c r="AO128" s="105">
        <f t="shared" si="54"/>
      </c>
    </row>
    <row r="129" spans="1:41" ht="15">
      <c r="A129" s="337"/>
      <c r="B129" s="139"/>
      <c r="C129" s="334"/>
      <c r="D129" s="133"/>
      <c r="E129" s="210"/>
      <c r="F129" s="213"/>
      <c r="G129" s="213">
        <f t="shared" si="86"/>
      </c>
      <c r="H129" s="213">
        <f t="shared" si="87"/>
      </c>
      <c r="I129" s="213">
        <f t="shared" si="88"/>
      </c>
      <c r="J129" s="210">
        <f t="shared" si="89"/>
      </c>
      <c r="K129" s="135">
        <f t="shared" si="90"/>
      </c>
      <c r="L129" s="210">
        <f t="shared" si="99"/>
      </c>
      <c r="M129" s="135">
        <f t="shared" si="91"/>
      </c>
      <c r="N129" s="272">
        <f>IF(AND(K129="",M129=""),"",IF(OR(SUM($O$114:$P$118,K$120:K129,M$120:M129)&lt;=25,AND(SUM($O$114:$P$118,K$119:K128,M$119:M128)&lt;=25,SUM($O$114:$P$118,K$120:K129,M$120:M129)&gt;25)),"O","N"))</f>
      </c>
      <c r="O129" s="196">
        <f>IF(OR(N129="N",N129=""),"",IF(K129="","",IF((25-SUM(O$114:O128,P$114:P128))&gt;K129,K129,25-SUM(O$114:O128,P$114:P128))))</f>
      </c>
      <c r="P129" s="135">
        <f>IF(OR(N129="N",N129=""),"",IF(M129="","",IF(25-SUM($O$114:O129,$P$114:P128)&gt;M129,M129,25-SUM($O$114:O129,$P$114:P128))))</f>
      </c>
      <c r="Q129" s="137">
        <f t="shared" si="92"/>
      </c>
      <c r="R129" s="135">
        <f t="shared" si="93"/>
      </c>
      <c r="S129" s="141">
        <f t="shared" si="94"/>
      </c>
      <c r="T129" s="31">
        <f>IF(N129="O",MAX(T$112:T128)+1,"")</f>
      </c>
      <c r="U129" s="31">
        <f>IF(Q129="O",MAX(U$112:U128)+1,"")</f>
      </c>
      <c r="V129" s="106">
        <f>IF(W129&lt;&gt;"",VLOOKUP($B$20,'Grille IND'!$A$5:$F$653,3,FALSE),"")</f>
      </c>
      <c r="W129" s="106">
        <f t="shared" si="95"/>
      </c>
      <c r="X129" s="107">
        <f>IF(Y129&lt;&gt;"",VLOOKUP($B$20,'Grille IND'!$A$5:$F$653,4,FALSE),"")</f>
      </c>
      <c r="Y129" s="107">
        <f t="shared" si="96"/>
      </c>
      <c r="Z129" s="108">
        <f>IF(AA129&lt;&gt;"",VLOOKUP($B$20,'Grille IND'!$A$5:$F$653,5,FALSE),"")</f>
      </c>
      <c r="AA129" s="108">
        <f t="shared" si="97"/>
      </c>
      <c r="AB129" s="109">
        <f>IF(AC129&lt;&gt;"",VLOOKUP($B$20,'Grille IND'!$A$5:$F$653,6,FALSE),"")</f>
      </c>
      <c r="AC129" s="109">
        <f t="shared" si="98"/>
      </c>
      <c r="AO129" s="105">
        <f t="shared" si="54"/>
      </c>
    </row>
    <row r="130" spans="1:41" ht="15">
      <c r="A130" s="337"/>
      <c r="B130" s="139"/>
      <c r="C130" s="334"/>
      <c r="D130" s="133"/>
      <c r="E130" s="210"/>
      <c r="F130" s="213"/>
      <c r="G130" s="213">
        <f t="shared" si="86"/>
      </c>
      <c r="H130" s="213">
        <f t="shared" si="87"/>
      </c>
      <c r="I130" s="213">
        <f t="shared" si="88"/>
      </c>
      <c r="J130" s="210">
        <f t="shared" si="89"/>
      </c>
      <c r="K130" s="135">
        <f t="shared" si="90"/>
      </c>
      <c r="L130" s="210">
        <f t="shared" si="99"/>
      </c>
      <c r="M130" s="135">
        <f t="shared" si="91"/>
      </c>
      <c r="N130" s="272">
        <f>IF(AND(K130="",M130=""),"",IF(OR(SUM($O$114:$P$118,K$120:K130,M$120:M130)&lt;=25,AND(SUM($O$114:$P$118,K$119:K129,M$119:M129)&lt;=25,SUM($O$114:$P$118,K$120:K130,M$120:M130)&gt;25)),"O","N"))</f>
      </c>
      <c r="O130" s="196">
        <f>IF(OR(N130="N",N130=""),"",IF(K130="","",IF((25-SUM(O$114:O129,P$114:P129))&gt;K130,K130,25-SUM(O$114:O129,P$114:P129))))</f>
      </c>
      <c r="P130" s="135">
        <f>IF(OR(N130="N",N130=""),"",IF(M130="","",IF(25-SUM($O$114:O130,$P$114:P129)&gt;M130,M130,25-SUM($O$114:O130,$P$114:P129))))</f>
      </c>
      <c r="Q130" s="137">
        <f t="shared" si="92"/>
      </c>
      <c r="R130" s="135">
        <f t="shared" si="93"/>
      </c>
      <c r="S130" s="141">
        <f t="shared" si="94"/>
      </c>
      <c r="T130" s="31">
        <f>IF(N130="O",MAX(T$112:T129)+1,"")</f>
      </c>
      <c r="U130" s="31">
        <f>IF(Q130="O",MAX(U$112:U129)+1,"")</f>
      </c>
      <c r="V130" s="106">
        <f>IF(W130&lt;&gt;"",VLOOKUP($B$20,'Grille IND'!$A$5:$F$653,3,FALSE),"")</f>
      </c>
      <c r="W130" s="106">
        <f t="shared" si="95"/>
      </c>
      <c r="X130" s="107">
        <f>IF(Y130&lt;&gt;"",VLOOKUP($B$20,'Grille IND'!$A$5:$F$653,4,FALSE),"")</f>
      </c>
      <c r="Y130" s="107">
        <f t="shared" si="96"/>
      </c>
      <c r="Z130" s="108">
        <f>IF(AA130&lt;&gt;"",VLOOKUP($B$20,'Grille IND'!$A$5:$F$653,5,FALSE),"")</f>
      </c>
      <c r="AA130" s="108">
        <f t="shared" si="97"/>
      </c>
      <c r="AB130" s="109">
        <f>IF(AC130&lt;&gt;"",VLOOKUP($B$20,'Grille IND'!$A$5:$F$653,6,FALSE),"")</f>
      </c>
      <c r="AC130" s="109">
        <f t="shared" si="98"/>
      </c>
      <c r="AO130" s="105">
        <f t="shared" si="54"/>
      </c>
    </row>
    <row r="131" spans="1:41" ht="15">
      <c r="A131" s="337"/>
      <c r="B131" s="139"/>
      <c r="C131" s="334"/>
      <c r="D131" s="133"/>
      <c r="E131" s="210"/>
      <c r="F131" s="213"/>
      <c r="G131" s="213">
        <f t="shared" si="86"/>
      </c>
      <c r="H131" s="213">
        <f t="shared" si="87"/>
      </c>
      <c r="I131" s="213">
        <f t="shared" si="88"/>
      </c>
      <c r="J131" s="210">
        <f t="shared" si="89"/>
      </c>
      <c r="K131" s="135">
        <f t="shared" si="90"/>
      </c>
      <c r="L131" s="210">
        <f t="shared" si="99"/>
      </c>
      <c r="M131" s="135">
        <f t="shared" si="91"/>
      </c>
      <c r="N131" s="272">
        <f>IF(AND(K131="",M131=""),"",IF(OR(SUM($O$114:$P$118,K$120:K131,M$120:M131)&lt;=25,AND(SUM($O$114:$P$118,K$119:K130,M$119:M130)&lt;=25,SUM($O$114:$P$118,K$120:K131,M$120:M131)&gt;25)),"O","N"))</f>
      </c>
      <c r="O131" s="196">
        <f>IF(OR(N131="N",N131=""),"",IF(K131="","",IF((25-SUM(O$114:O130,P$114:P130))&gt;K131,K131,25-SUM(O$114:O130,P$114:P130))))</f>
      </c>
      <c r="P131" s="135">
        <f>IF(OR(N131="N",N131=""),"",IF(M131="","",IF(25-SUM($O$114:O131,$P$114:P130)&gt;M131,M131,25-SUM($O$114:O131,$P$114:P130))))</f>
      </c>
      <c r="Q131" s="137">
        <f t="shared" si="92"/>
      </c>
      <c r="R131" s="135">
        <f t="shared" si="93"/>
      </c>
      <c r="S131" s="141">
        <f t="shared" si="94"/>
      </c>
      <c r="T131" s="31">
        <f>IF(N131="O",MAX(T$112:T130)+1,"")</f>
      </c>
      <c r="U131" s="31">
        <f>IF(Q131="O",MAX(U$112:U130)+1,"")</f>
      </c>
      <c r="V131" s="106">
        <f>IF(W131&lt;&gt;"",VLOOKUP($B$20,'Grille IND'!$A$5:$F$653,3,FALSE),"")</f>
      </c>
      <c r="W131" s="106">
        <f t="shared" si="95"/>
      </c>
      <c r="X131" s="107">
        <f>IF(Y131&lt;&gt;"",VLOOKUP($B$20,'Grille IND'!$A$5:$F$653,4,FALSE),"")</f>
      </c>
      <c r="Y131" s="107">
        <f t="shared" si="96"/>
      </c>
      <c r="Z131" s="108">
        <f>IF(AA131&lt;&gt;"",VLOOKUP($B$20,'Grille IND'!$A$5:$F$653,5,FALSE),"")</f>
      </c>
      <c r="AA131" s="108">
        <f t="shared" si="97"/>
      </c>
      <c r="AB131" s="109">
        <f>IF(AC131&lt;&gt;"",VLOOKUP($B$20,'Grille IND'!$A$5:$F$653,6,FALSE),"")</f>
      </c>
      <c r="AC131" s="109">
        <f t="shared" si="98"/>
      </c>
      <c r="AO131" s="105">
        <f aca="true" t="shared" si="100" ref="AO131:AO194">IF(D131&lt;&gt;"",IF(AND(ISERROR(VLOOKUP(D131,Fériés,1,0)),WEEKDAY(D131,2)&lt;=6),"",IF(WEEKDAY(D131,2)&gt;6,"D",IF(VLOOKUP(D131,Fériés,1,0),"F",""))),"")</f>
      </c>
    </row>
    <row r="132" spans="1:41" ht="15">
      <c r="A132" s="337"/>
      <c r="B132" s="139"/>
      <c r="C132" s="334"/>
      <c r="D132" s="133"/>
      <c r="E132" s="210"/>
      <c r="F132" s="213"/>
      <c r="G132" s="213">
        <f t="shared" si="86"/>
      </c>
      <c r="H132" s="213">
        <f t="shared" si="87"/>
      </c>
      <c r="I132" s="213">
        <f t="shared" si="88"/>
      </c>
      <c r="J132" s="210">
        <f t="shared" si="89"/>
      </c>
      <c r="K132" s="135">
        <f t="shared" si="90"/>
      </c>
      <c r="L132" s="210">
        <f t="shared" si="99"/>
      </c>
      <c r="M132" s="135">
        <f t="shared" si="91"/>
      </c>
      <c r="N132" s="272">
        <f>IF(AND(K132="",M132=""),"",IF(OR(SUM($O$114:$P$118,K$120:K132,M$120:M132)&lt;=25,AND(SUM($O$114:$P$118,K$119:K131,M$119:M131)&lt;=25,SUM($O$114:$P$118,K$120:K132,M$120:M132)&gt;25)),"O","N"))</f>
      </c>
      <c r="O132" s="196">
        <f>IF(OR(N132="N",N132=""),"",IF(K132="","",IF((25-SUM(O$114:O131,P$114:P131))&gt;K132,K132,25-SUM(O$114:O131,P$114:P131))))</f>
      </c>
      <c r="P132" s="135">
        <f>IF(OR(N132="N",N132=""),"",IF(M132="","",IF(25-SUM($O$114:O132,$P$114:P131)&gt;M132,M132,25-SUM($O$114:O132,$P$114:P131))))</f>
      </c>
      <c r="Q132" s="137">
        <f t="shared" si="92"/>
      </c>
      <c r="R132" s="135">
        <f t="shared" si="93"/>
      </c>
      <c r="S132" s="141">
        <f t="shared" si="94"/>
      </c>
      <c r="T132" s="31">
        <f>IF(N132="O",MAX(T$112:T131)+1,"")</f>
      </c>
      <c r="U132" s="31">
        <f>IF(Q132="O",MAX(U$112:U131)+1,"")</f>
      </c>
      <c r="V132" s="106">
        <f>IF(W132&lt;&gt;"",VLOOKUP($B$20,'Grille IND'!$A$5:$F$653,3,FALSE),"")</f>
      </c>
      <c r="W132" s="106">
        <f t="shared" si="95"/>
      </c>
      <c r="X132" s="107">
        <f>IF(Y132&lt;&gt;"",VLOOKUP($B$20,'Grille IND'!$A$5:$F$653,4,FALSE),"")</f>
      </c>
      <c r="Y132" s="107">
        <f t="shared" si="96"/>
      </c>
      <c r="Z132" s="108">
        <f>IF(AA132&lt;&gt;"",VLOOKUP($B$20,'Grille IND'!$A$5:$F$653,5,FALSE),"")</f>
      </c>
      <c r="AA132" s="108">
        <f t="shared" si="97"/>
      </c>
      <c r="AB132" s="109">
        <f>IF(AC132&lt;&gt;"",VLOOKUP($B$20,'Grille IND'!$A$5:$F$653,6,FALSE),"")</f>
      </c>
      <c r="AC132" s="109">
        <f t="shared" si="98"/>
      </c>
      <c r="AO132" s="105">
        <f t="shared" si="100"/>
      </c>
    </row>
    <row r="133" spans="1:41" ht="18" thickBot="1">
      <c r="A133" s="337"/>
      <c r="B133" s="139"/>
      <c r="C133" s="334"/>
      <c r="D133" s="202"/>
      <c r="E133" s="208"/>
      <c r="F133" s="230"/>
      <c r="G133" s="230"/>
      <c r="H133" s="335" t="s">
        <v>29</v>
      </c>
      <c r="I133" s="335"/>
      <c r="J133" s="208">
        <f>SUM(J120:J129)</f>
        <v>0.01388888888888884</v>
      </c>
      <c r="K133" s="163">
        <f>SUM(K114:K132)</f>
        <v>0.6666666666666643</v>
      </c>
      <c r="L133" s="208">
        <f>SUM(L120:L129)</f>
        <v>1.2291666666666665</v>
      </c>
      <c r="M133" s="163">
        <f>SUM(M114:M132)</f>
        <v>45.33333333333333</v>
      </c>
      <c r="N133" s="201"/>
      <c r="O133" s="336">
        <f>SUM(O118:P132)</f>
        <v>12.783333333333339</v>
      </c>
      <c r="P133" s="336"/>
      <c r="Q133" s="177"/>
      <c r="R133" s="257">
        <f>SUM(R118:R132)</f>
        <v>0.33333333333333215</v>
      </c>
      <c r="S133" s="257">
        <f>SUM(S118:S132)</f>
        <v>16.716666666666658</v>
      </c>
      <c r="V133" s="239"/>
      <c r="W133" s="239">
        <f>SUM(W114:W132)</f>
        <v>16.366666666666674</v>
      </c>
      <c r="X133" s="240"/>
      <c r="Y133" s="240">
        <f>SUM(Y114:Y132)</f>
        <v>0</v>
      </c>
      <c r="Z133" s="241"/>
      <c r="AA133" s="241">
        <f>SUM(AA114:AA132)</f>
        <v>8.299999999999994</v>
      </c>
      <c r="AB133" s="242"/>
      <c r="AC133" s="242">
        <f>SUM(AC114:AC132)</f>
        <v>0.33333333333333215</v>
      </c>
      <c r="AO133" s="105">
        <f t="shared" si="100"/>
      </c>
    </row>
    <row r="134" spans="1:41" ht="19.5" customHeight="1" thickBot="1">
      <c r="A134" s="184"/>
      <c r="B134" s="185"/>
      <c r="C134" s="185"/>
      <c r="D134" s="186"/>
      <c r="E134" s="223"/>
      <c r="F134" s="232"/>
      <c r="G134" s="232"/>
      <c r="H134" s="187"/>
      <c r="I134" s="187"/>
      <c r="J134" s="223"/>
      <c r="K134" s="188"/>
      <c r="L134" s="223"/>
      <c r="M134" s="188"/>
      <c r="N134" s="200"/>
      <c r="O134" s="200"/>
      <c r="P134" s="188"/>
      <c r="Q134" s="191"/>
      <c r="R134" s="191"/>
      <c r="S134" s="188"/>
      <c r="V134" s="239"/>
      <c r="W134" s="239">
        <f>SUMPRODUCT(V114:V132,W114:W132)</f>
        <v>260.3936666666667</v>
      </c>
      <c r="X134" s="240"/>
      <c r="Y134" s="240">
        <f>SUMPRODUCT(X114:X132,Y114:Y132)</f>
        <v>0</v>
      </c>
      <c r="Z134" s="241"/>
      <c r="AA134" s="241">
        <f>SUMPRODUCT(Z114:Z132,AA114:AA132)</f>
        <v>220.11599999999987</v>
      </c>
      <c r="AB134" s="242"/>
      <c r="AC134" s="242">
        <f>SUMPRODUCT(AB114:AB132,AC114:AC132)</f>
        <v>10.606666666666628</v>
      </c>
      <c r="AO134" s="105">
        <f t="shared" si="100"/>
      </c>
    </row>
    <row r="135" spans="1:41" ht="14.25" customHeight="1">
      <c r="A135" s="347" t="s">
        <v>165</v>
      </c>
      <c r="B135" s="318">
        <f>VLOOKUP($B$1,INFOS!A:AU,39,FALSE)</f>
        <v>457</v>
      </c>
      <c r="C135" s="338" t="s">
        <v>31</v>
      </c>
      <c r="D135" s="404" t="s">
        <v>170</v>
      </c>
      <c r="E135" s="402"/>
      <c r="F135" s="402"/>
      <c r="G135" s="402"/>
      <c r="H135" s="402"/>
      <c r="I135" s="402"/>
      <c r="J135" s="402"/>
      <c r="K135" s="402"/>
      <c r="L135" s="402"/>
      <c r="M135" s="403"/>
      <c r="N135" s="339" t="s">
        <v>32</v>
      </c>
      <c r="O135" s="340"/>
      <c r="P135" s="340"/>
      <c r="Q135" s="341"/>
      <c r="R135" s="345">
        <f>R133</f>
        <v>0.33333333333333215</v>
      </c>
      <c r="S135" s="331">
        <f>S133</f>
        <v>16.716666666666658</v>
      </c>
      <c r="T135" s="23"/>
      <c r="U135" s="23"/>
      <c r="V135" s="34"/>
      <c r="X135" s="34"/>
      <c r="Y135" s="34"/>
      <c r="Z135" s="34"/>
      <c r="AA135" s="34"/>
      <c r="AB135" s="34"/>
      <c r="AC135" s="34"/>
      <c r="AO135" s="397"/>
    </row>
    <row r="136" spans="1:41" ht="15" customHeight="1">
      <c r="A136" s="348"/>
      <c r="B136" s="319">
        <f>VLOOKUP($B$1,INFOS!A:AU,40,FALSE)</f>
        <v>1</v>
      </c>
      <c r="C136" s="338"/>
      <c r="D136" s="406"/>
      <c r="E136" s="406"/>
      <c r="F136" s="406"/>
      <c r="G136" s="406"/>
      <c r="H136" s="406"/>
      <c r="I136" s="406"/>
      <c r="J136" s="406"/>
      <c r="K136" s="406"/>
      <c r="L136" s="406"/>
      <c r="M136" s="407"/>
      <c r="N136" s="342"/>
      <c r="O136" s="343"/>
      <c r="P136" s="343"/>
      <c r="Q136" s="344"/>
      <c r="R136" s="346"/>
      <c r="S136" s="332"/>
      <c r="T136" s="23"/>
      <c r="U136" s="23"/>
      <c r="V136" s="34"/>
      <c r="X136" s="34"/>
      <c r="Y136" s="34"/>
      <c r="Z136" s="34"/>
      <c r="AA136" s="34"/>
      <c r="AB136" s="34"/>
      <c r="AC136" s="34"/>
      <c r="AO136" s="397"/>
    </row>
    <row r="137" spans="1:41" ht="15">
      <c r="A137" s="348"/>
      <c r="B137" s="355" t="str">
        <f>VLOOKUP($B$1,INFOS!A:AU,9,FALSE)</f>
        <v>Direction Générale des Services</v>
      </c>
      <c r="C137" s="338"/>
      <c r="D137" s="311">
        <f>IF(ROWS($D$137:D137)&lt;=MAX($U$114:$U$132),INDEX($D$114:$D$132,MATCH(ROWS($D$137:D137),$U$114:$U$132,0)),"")</f>
        <v>43169</v>
      </c>
      <c r="E137" s="203">
        <f>IF(D137&lt;&gt;"",_xlfn.IFERROR(VLOOKUP($D137,$D$120:$S$132,COLUMN(B$1),0),""),"")</f>
        <v>0.34375</v>
      </c>
      <c r="F137" s="203">
        <f>IF(D137&lt;&gt;"",_xlfn.IFERROR(VLOOKUP($D137,$D$120:$S$132,COLUMN(C$1),0),""),"")</f>
        <v>0.8541666666666666</v>
      </c>
      <c r="G137" s="203">
        <f aca="true" t="shared" si="101" ref="G137:M141">IF($D137&lt;&gt;"",_xlfn.IFERROR(VLOOKUP($D137,$D$120:$S$132,COLUMN(D$1),0),""),"")</f>
        <v>0.5104166666666666</v>
      </c>
      <c r="H137" s="203">
        <f t="shared" si="101"/>
      </c>
      <c r="I137" s="203">
        <f t="shared" si="101"/>
      </c>
      <c r="J137" s="203">
        <f t="shared" si="101"/>
      </c>
      <c r="K137" s="176">
        <f t="shared" si="101"/>
      </c>
      <c r="L137" s="203">
        <f t="shared" si="101"/>
        <v>0.5104166666666666</v>
      </c>
      <c r="M137" s="176">
        <f t="shared" si="101"/>
        <v>12.25</v>
      </c>
      <c r="N137" s="289" t="str">
        <f>IF(OR(O137&lt;&gt;"",P137&lt;&gt;""),"O","")</f>
        <v>O</v>
      </c>
      <c r="O137" s="290">
        <f aca="true" t="shared" si="102" ref="O137:P141">IF($D137&lt;&gt;"",_xlfn.IFERROR(VLOOKUP($D137,$D$120:$S$132,COLUMN(O$1),0),""),"")</f>
      </c>
      <c r="P137" s="290">
        <f t="shared" si="102"/>
        <v>4.4666666666666615</v>
      </c>
      <c r="Q137" s="291"/>
      <c r="R137" s="291"/>
      <c r="S137" s="292"/>
      <c r="T137" s="23">
        <f>IF(N137="O",MAX(T$135:T136)+1,"")</f>
        <v>1</v>
      </c>
      <c r="U137" s="23">
        <f>IF(Q137="O",MAX(U$135:U136)+1,"")</f>
      </c>
      <c r="V137" s="106">
        <f>IF(W137&lt;&gt;"",VLOOKUP($B$20,'Grille IND'!$A$5:$F$653,3,FALSE),"")</f>
        <v>15.91</v>
      </c>
      <c r="W137" s="106">
        <f>IF(T137="","",IF(OR(AO137="D",AO137="F"),"",IF(OR(AND(N137="O",Q137="",P137&lt;=14),AND(N137="O",Q137="O",P137&lt;=14)),P137,14)))</f>
        <v>4.4666666666666615</v>
      </c>
      <c r="X137" s="107">
        <f>IF(Y137&lt;&gt;"",VLOOKUP($B$20,'Grille IND'!$A$5:$F$653,4,FALSE),"")</f>
      </c>
      <c r="Y137" s="107">
        <f>IF(T137="","",IF(OR(AO137="D",AO137="F"),"",IF(OR(AND(N137="O",Q137="",P137&gt;14),AND(N137="O",Q137="O",P137&gt;14)),P137-14,"")))</f>
      </c>
      <c r="Z137" s="108">
        <f>IF(AA137&lt;&gt;"",VLOOKUP($B$20,'Grille IND'!$A$5:$F$653,5,FALSE),"")</f>
      </c>
      <c r="AA137" s="108">
        <f>IF(T137="","",IF(OR(AND(OR(AO137="D",AO137="F"),N137="O",Q137=""),AND(OR(AO137="D",AO137="F"),N137="O",Q137="O")),P137,""))</f>
      </c>
      <c r="AB137" s="109">
        <f>IF(AC137&lt;&gt;"",VLOOKUP($B$20,'Grille IND'!$A$5:$F$653,6,FALSE),"")</f>
      </c>
      <c r="AC137" s="109">
        <f>IF(T137="","",IF(O137="","",O137))</f>
      </c>
      <c r="AO137" s="105">
        <f t="shared" si="100"/>
      </c>
    </row>
    <row r="138" spans="1:41" ht="15">
      <c r="A138" s="348"/>
      <c r="B138" s="355"/>
      <c r="C138" s="338"/>
      <c r="D138" s="311">
        <f>IF(ROWS($D$137:D138)&lt;=MAX($U$114:$U$132),INDEX($D$114:$D$132,MATCH(ROWS($D$137:D138),$U$114:$U$132,0)),"")</f>
        <v>43170</v>
      </c>
      <c r="E138" s="203">
        <f>IF(D138&lt;&gt;"",_xlfn.IFERROR(VLOOKUP($D138,$D$120:$S$132,COLUMN(B$1),0),""),"")</f>
        <v>0.2916666666666667</v>
      </c>
      <c r="F138" s="203">
        <f>IF(D138&lt;&gt;"",_xlfn.IFERROR(VLOOKUP($D138,$D$120:$S$132,COLUMN(C$1),0),""),"")</f>
        <v>0.5104166666666666</v>
      </c>
      <c r="G138" s="203">
        <f t="shared" si="101"/>
        <v>0.21874999999999994</v>
      </c>
      <c r="H138" s="203">
        <f t="shared" si="101"/>
      </c>
      <c r="I138" s="203">
        <f t="shared" si="101"/>
      </c>
      <c r="J138" s="203">
        <f t="shared" si="101"/>
      </c>
      <c r="K138" s="176">
        <f t="shared" si="101"/>
      </c>
      <c r="L138" s="203">
        <f t="shared" si="101"/>
        <v>0.21874999999999994</v>
      </c>
      <c r="M138" s="176">
        <f t="shared" si="101"/>
        <v>5.249999999999998</v>
      </c>
      <c r="N138" s="293" t="str">
        <f>IF(OR(O138&lt;&gt;"",P138&lt;&gt;""),"O","")</f>
        <v>O</v>
      </c>
      <c r="O138" s="294">
        <f t="shared" si="102"/>
      </c>
      <c r="P138" s="294">
        <f t="shared" si="102"/>
        <v>5.249999999999998</v>
      </c>
      <c r="Q138" s="295"/>
      <c r="R138" s="295"/>
      <c r="S138" s="296"/>
      <c r="T138" s="23">
        <f>IF(N138="O",MAX(T$135:T137)+1,"")</f>
        <v>2</v>
      </c>
      <c r="U138" s="23">
        <f>IF(Q138="O",MAX(U$135:U137)+1,"")</f>
      </c>
      <c r="V138" s="106">
        <f>IF(W138&lt;&gt;"",VLOOKUP($B$20,'Grille IND'!$A$5:$F$653,3,FALSE),"")</f>
      </c>
      <c r="W138" s="106">
        <f>IF(T138="","",IF(OR(AO138="D",AO138="F"),"",IF(OR(AND(N138="O",Q138="",P138&lt;=14),AND(N138="O",Q138="O",P138&lt;=14)),P138,14)))</f>
      </c>
      <c r="X138" s="107">
        <f>IF(Y138&lt;&gt;"",VLOOKUP($B$20,'Grille IND'!$A$5:$F$653,4,FALSE),"")</f>
      </c>
      <c r="Y138" s="107">
        <f>IF(T138="","",IF(OR(AO138="D",AO138="F"),"",IF(OR(AND(N138="O",Q138="",P138&gt;14),AND(N138="O",Q138="O",P138&gt;14)),P138-14,"")))</f>
      </c>
      <c r="Z138" s="108">
        <f>IF(AA138&lt;&gt;"",VLOOKUP($B$20,'Grille IND'!$A$5:$F$653,5,FALSE),"")</f>
        <v>26.52</v>
      </c>
      <c r="AA138" s="108">
        <f>IF(T138="","",IF(OR(AND(OR(AO138="D",AO138="F"),N138="O",Q138=""),AND(OR(AO138="D",AO138="F"),N138="O",Q138="O")),P138,""))</f>
        <v>5.249999999999998</v>
      </c>
      <c r="AB138" s="109">
        <f>IF(AC138&lt;&gt;"",VLOOKUP($B$20,'Grille IND'!$A$5:$F$653,6,FALSE),"")</f>
      </c>
      <c r="AC138" s="109">
        <f>IF(T138="","",IF(O138="","",O138))</f>
      </c>
      <c r="AO138" s="105" t="str">
        <f t="shared" si="100"/>
        <v>D</v>
      </c>
    </row>
    <row r="139" spans="1:41" ht="15">
      <c r="A139" s="348"/>
      <c r="B139" s="139"/>
      <c r="C139" s="338"/>
      <c r="D139" s="311">
        <f>IF(ROWS($D$137:D139)&lt;=MAX($U$114:$U$132),INDEX($D$114:$D$132,MATCH(ROWS($D$137:D139),$U$114:$U$132,0)),"")</f>
        <v>43184</v>
      </c>
      <c r="E139" s="203">
        <f>IF(D139&lt;&gt;"",_xlfn.IFERROR(VLOOKUP($D139,$D$120:$S$132,COLUMN(B$1),0),""),"")</f>
        <v>0.625</v>
      </c>
      <c r="F139" s="203">
        <f>IF(D139&lt;&gt;"",_xlfn.IFERROR(VLOOKUP($D139,$D$120:$S$132,COLUMN(C$1),0),""),"")</f>
        <v>0.9305555555555555</v>
      </c>
      <c r="G139" s="203">
        <f t="shared" si="101"/>
        <v>0.30555555555555547</v>
      </c>
      <c r="H139" s="203">
        <f t="shared" si="101"/>
      </c>
      <c r="I139" s="203">
        <f t="shared" si="101"/>
        <v>0.01388888888888884</v>
      </c>
      <c r="J139" s="203">
        <f t="shared" si="101"/>
        <v>0.01388888888888884</v>
      </c>
      <c r="K139" s="176">
        <f t="shared" si="101"/>
        <v>0.33333333333333215</v>
      </c>
      <c r="L139" s="203">
        <f t="shared" si="101"/>
        <v>0.29166666666666663</v>
      </c>
      <c r="M139" s="176">
        <f t="shared" si="101"/>
        <v>6.999999999999999</v>
      </c>
      <c r="N139" s="297" t="str">
        <f>IF(OR(O139&lt;&gt;"",P139&lt;&gt;""),"O","")</f>
        <v>O</v>
      </c>
      <c r="O139" s="294">
        <f t="shared" si="102"/>
        <v>0.33333333333333215</v>
      </c>
      <c r="P139" s="294">
        <f t="shared" si="102"/>
        <v>6.999999999999999</v>
      </c>
      <c r="Q139" s="298"/>
      <c r="R139" s="298"/>
      <c r="S139" s="299"/>
      <c r="T139" s="23">
        <f>IF(N139="O",MAX(T$135:T138)+1,"")</f>
        <v>3</v>
      </c>
      <c r="U139" s="23">
        <f>IF(Q139="O",MAX(U$135:U138)+1,"")</f>
      </c>
      <c r="V139" s="106">
        <f>IF(W139&lt;&gt;"",VLOOKUP($B$20,'Grille IND'!$A$5:$F$653,3,FALSE),"")</f>
      </c>
      <c r="W139" s="106">
        <f>IF(T139="","",IF(OR(AO139="D",AO139="F"),"",IF(OR(AND(N139="O",Q139="",P139&lt;=14),AND(N139="O",Q139="O",P139&lt;=14)),P139,14)))</f>
      </c>
      <c r="X139" s="107">
        <f>IF(Y139&lt;&gt;"",VLOOKUP($B$20,'Grille IND'!$A$5:$F$653,4,FALSE),"")</f>
      </c>
      <c r="Y139" s="107">
        <f>IF(T139="","",IF(OR(AO139="D",AO139="F"),"",IF(OR(AND(N139="O",Q139="",P139&gt;14),AND(N139="O",Q139="O",P139&gt;14)),P139-14,"")))</f>
      </c>
      <c r="Z139" s="108">
        <f>IF(AA139&lt;&gt;"",VLOOKUP($B$20,'Grille IND'!$A$5:$F$653,5,FALSE),"")</f>
        <v>26.52</v>
      </c>
      <c r="AA139" s="108">
        <f>IF(T139="","",IF(OR(AND(OR(AO139="D",AO139="F"),N139="O",Q139=""),AND(OR(AO139="D",AO139="F"),N139="O",Q139="O")),P139,""))</f>
        <v>6.999999999999999</v>
      </c>
      <c r="AB139" s="109">
        <f>IF(AC139&lt;&gt;"",VLOOKUP($B$20,'Grille IND'!$A$5:$F$653,6,FALSE),"")</f>
        <v>31.82</v>
      </c>
      <c r="AC139" s="109">
        <f>IF(T139="","",IF(O139="","",O139))</f>
        <v>0.33333333333333215</v>
      </c>
      <c r="AO139" s="105" t="str">
        <f t="shared" si="100"/>
        <v>D</v>
      </c>
    </row>
    <row r="140" spans="1:41" ht="15">
      <c r="A140" s="348"/>
      <c r="B140" s="139"/>
      <c r="C140" s="338"/>
      <c r="D140" s="171">
        <f>IF(ROWS($D$137:D140)&lt;=MAX($U$114:$U$132),INDEX($D$114:$D$132,MATCH(ROWS($D$137:D140),$U$114:$U$132,0)),"")</f>
      </c>
      <c r="E140" s="203">
        <f>IF(D140&lt;&gt;"",_xlfn.IFERROR(VLOOKUP($D140,$D$120:$S$132,COLUMN(B$1),0),""),"")</f>
      </c>
      <c r="F140" s="203">
        <f>IF(D140&lt;&gt;"",_xlfn.IFERROR(VLOOKUP($D140,$D$120:$S$132,COLUMN(C$1),0),""),"")</f>
      </c>
      <c r="G140" s="203">
        <f t="shared" si="101"/>
      </c>
      <c r="H140" s="203">
        <f t="shared" si="101"/>
      </c>
      <c r="I140" s="203">
        <f t="shared" si="101"/>
      </c>
      <c r="J140" s="203">
        <f t="shared" si="101"/>
      </c>
      <c r="K140" s="176">
        <f t="shared" si="101"/>
      </c>
      <c r="L140" s="203">
        <f t="shared" si="101"/>
      </c>
      <c r="M140" s="176">
        <f t="shared" si="101"/>
      </c>
      <c r="N140" s="297">
        <f>IF(OR(O140&lt;&gt;"",P140&lt;&gt;""),"O","")</f>
      </c>
      <c r="O140" s="294">
        <f t="shared" si="102"/>
      </c>
      <c r="P140" s="294">
        <f t="shared" si="102"/>
      </c>
      <c r="Q140" s="285"/>
      <c r="R140" s="285"/>
      <c r="S140" s="287"/>
      <c r="T140" s="23">
        <f>IF(N140="O",MAX(T$135:T139)+1,"")</f>
      </c>
      <c r="U140" s="23">
        <f>IF(Q140="O",MAX(U$135:U139)+1,"")</f>
      </c>
      <c r="V140" s="106">
        <f>IF(W140&lt;&gt;"",VLOOKUP($B$20,'Grille IND'!$A$5:$F$653,3,FALSE),"")</f>
      </c>
      <c r="W140" s="106">
        <f>IF(T140="","",IF(OR(AO140="D",AO140="F"),"",IF(OR(AND(N140="O",Q140="",P140&lt;=14),AND(N140="O",Q140="O",P140&lt;=14)),P140,14)))</f>
      </c>
      <c r="X140" s="107">
        <f>IF(Y140&lt;&gt;"",VLOOKUP($B$20,'Grille IND'!$A$5:$F$653,4,FALSE),"")</f>
      </c>
      <c r="Y140" s="107">
        <f>IF(T140="","",IF(OR(AO140="D",AO140="F"),"",IF(OR(AND(N140="O",Q140="",P140&gt;14),AND(N140="O",Q140="O",P140&gt;14)),P140-14,"")))</f>
      </c>
      <c r="Z140" s="108">
        <f>IF(AA140&lt;&gt;"",VLOOKUP($B$20,'Grille IND'!$A$5:$F$653,5,FALSE),"")</f>
      </c>
      <c r="AA140" s="108">
        <f>IF(T140="","",IF(OR(AND(OR(AO140="D",AO140="F"),N140="O",Q140=""),AND(OR(AO140="D",AO140="F"),N140="O",Q140="O")),P140,""))</f>
      </c>
      <c r="AB140" s="109">
        <f>IF(AC140&lt;&gt;"",VLOOKUP($B$20,'Grille IND'!$A$5:$F$653,6,FALSE),"")</f>
      </c>
      <c r="AC140" s="109">
        <f>IF(T140="","",IF(O140="","",O140))</f>
      </c>
      <c r="AO140" s="105">
        <f t="shared" si="100"/>
      </c>
    </row>
    <row r="141" spans="1:41" ht="15">
      <c r="A141" s="348"/>
      <c r="B141" s="139"/>
      <c r="C141" s="338"/>
      <c r="D141" s="171">
        <f>IF(ROWS($D$137:D141)&lt;=MAX($U$114:$U$132),INDEX($D$114:$D$132,MATCH(ROWS($D$137:D141),$U$114:$U$132,0)),"")</f>
      </c>
      <c r="E141" s="203">
        <f>IF(D141&lt;&gt;"",_xlfn.IFERROR(VLOOKUP($D141,$D$120:$S$132,COLUMN(B$1),0),""),"")</f>
      </c>
      <c r="F141" s="203">
        <f>IF(D141&lt;&gt;"",_xlfn.IFERROR(VLOOKUP($D141,$D$120:$S$132,COLUMN(C$1),0),""),"")</f>
      </c>
      <c r="G141" s="203">
        <f t="shared" si="101"/>
      </c>
      <c r="H141" s="203">
        <f t="shared" si="101"/>
      </c>
      <c r="I141" s="203">
        <f t="shared" si="101"/>
      </c>
      <c r="J141" s="203">
        <f t="shared" si="101"/>
      </c>
      <c r="K141" s="176">
        <f t="shared" si="101"/>
      </c>
      <c r="L141" s="203">
        <f t="shared" si="101"/>
      </c>
      <c r="M141" s="176">
        <f t="shared" si="101"/>
      </c>
      <c r="N141" s="297">
        <f>IF(OR(O141&lt;&gt;"",P141&lt;&gt;""),"O","")</f>
      </c>
      <c r="O141" s="294">
        <f t="shared" si="102"/>
      </c>
      <c r="P141" s="294">
        <f t="shared" si="102"/>
      </c>
      <c r="Q141" s="285"/>
      <c r="R141" s="285"/>
      <c r="S141" s="287"/>
      <c r="T141" s="23">
        <f>IF(N141="O",MAX(T$135:T140)+1,"")</f>
      </c>
      <c r="U141" s="23">
        <f>IF(Q141="O",MAX(U$135:U140)+1,"")</f>
      </c>
      <c r="V141" s="106">
        <f>IF(W141&lt;&gt;"",VLOOKUP($B$20,'Grille IND'!$A$5:$F$653,3,FALSE),"")</f>
      </c>
      <c r="W141" s="106">
        <f>IF(T141="","",IF(OR(AO141="D",AO141="F"),"",IF(OR(AND(N141="O",Q141="",P141&lt;=14),AND(N141="O",Q141="O",P141&lt;=14)),P141,14)))</f>
      </c>
      <c r="X141" s="107">
        <f>IF(Y141&lt;&gt;"",VLOOKUP($B$20,'Grille IND'!$A$5:$F$653,4,FALSE),"")</f>
      </c>
      <c r="Y141" s="107">
        <f>IF(T141="","",IF(OR(AO141="D",AO141="F"),"",IF(OR(AND(N141="O",Q141="",P141&gt;14),AND(N141="O",Q141="O",P141&gt;14)),P141-14,"")))</f>
      </c>
      <c r="Z141" s="108">
        <f>IF(AA141&lt;&gt;"",VLOOKUP($B$20,'Grille IND'!$A$5:$F$653,5,FALSE),"")</f>
      </c>
      <c r="AA141" s="108">
        <f>IF(T141="","",IF(OR(AND(OR(AO141="D",AO141="F"),N141="O",Q141=""),AND(OR(AO141="D",AO141="F"),N141="O",Q141="O")),P141,""))</f>
      </c>
      <c r="AB141" s="109">
        <f>IF(AC141&lt;&gt;"",VLOOKUP($B$20,'Grille IND'!$A$5:$F$653,6,FALSE),"")</f>
      </c>
      <c r="AC141" s="109">
        <f>IF(T141="","",IF(O141="","",O141))</f>
      </c>
      <c r="AO141" s="105">
        <f t="shared" si="100"/>
      </c>
    </row>
    <row r="142" spans="1:41" ht="15.75" thickBot="1">
      <c r="A142" s="348"/>
      <c r="B142" s="139"/>
      <c r="C142" s="338"/>
      <c r="D142" s="312"/>
      <c r="E142" s="228"/>
      <c r="F142" s="229"/>
      <c r="G142" s="229"/>
      <c r="H142" s="356"/>
      <c r="I142" s="356"/>
      <c r="J142" s="204"/>
      <c r="K142" s="172"/>
      <c r="L142" s="204"/>
      <c r="M142" s="172"/>
      <c r="N142" s="173">
        <f>IF(AND(K142="",M142=""),"",IF(OR(SUM(K$22:K142,M$22:M142)&lt;=25,AND(SUM(K$22:K142,M$22:M142)&lt;=25,SUM(K$22:K142,M$22:M142,M142,K142)&gt;25)),"O","N"))</f>
      </c>
      <c r="O142" s="173"/>
      <c r="P142" s="174"/>
      <c r="Q142" s="161">
        <f>IF(AND(N142="O",P142=SUM(K142,M142)),"",IF(AND(N142="O",P142&lt;SUM(K142,M142)),"O",IF(N142="N","O","")))</f>
      </c>
      <c r="R142" s="161"/>
      <c r="S142" s="175">
        <f>IF(Q142="","",IF(AND(N142="O",Q142="O"),SUM(K142,M142,-P142),IF(N142="N",SUM(K142,M142),"")))</f>
      </c>
      <c r="T142" s="23">
        <f>IF(N142="O",MAX(T$135:T141)+1,"")</f>
      </c>
      <c r="U142" s="23">
        <f>IF(Q142="O",MAX(U$135:U141)+1,"")</f>
      </c>
      <c r="V142" s="238"/>
      <c r="W142" s="238"/>
      <c r="X142" s="252"/>
      <c r="Y142" s="252"/>
      <c r="Z142" s="253"/>
      <c r="AA142" s="253"/>
      <c r="AB142" s="254"/>
      <c r="AC142" s="254"/>
      <c r="AO142" s="105">
        <f t="shared" si="100"/>
      </c>
    </row>
    <row r="143" spans="1:41" ht="15">
      <c r="A143" s="348"/>
      <c r="B143" s="139"/>
      <c r="C143" s="334" t="s">
        <v>27</v>
      </c>
      <c r="D143" s="140">
        <v>43052</v>
      </c>
      <c r="E143" s="205">
        <v>0.7152777777777778</v>
      </c>
      <c r="F143" s="215">
        <v>0.8881944444444444</v>
      </c>
      <c r="G143" s="215">
        <f aca="true" t="shared" si="103" ref="G143:G155">IF(AND(E143="",F143=""),"",MOD(F143-E143,1))</f>
        <v>0.1729166666666666</v>
      </c>
      <c r="H143" s="142">
        <f aca="true" t="shared" si="104" ref="H143:H155">IF(E143="","",IF($E143&lt;$AJ$3,$AJ$3-$E143,""))</f>
      </c>
      <c r="I143" s="215">
        <f aca="true" t="shared" si="105" ref="I143:I155">IF(F143="","",IF($F143&gt;$AK$3,$F143-$AK$3,""))</f>
      </c>
      <c r="J143" s="205">
        <f aca="true" t="shared" si="106" ref="J143:J149">IF(AND(H143="",I143=""),"",SUM(H143,I143))</f>
      </c>
      <c r="K143" s="143">
        <f aca="true" t="shared" si="107" ref="K143:K155">IF(J143="","",J143*24)</f>
      </c>
      <c r="L143" s="205">
        <f aca="true" t="shared" si="108" ref="L143:L155">IF(AND(E143="",F143=""),"",IF(J143&lt;&gt;"",G143-J143,G143))</f>
        <v>0.1729166666666666</v>
      </c>
      <c r="M143" s="143">
        <f aca="true" t="shared" si="109" ref="M143:M155">IF(L143="","",L143*24)</f>
        <v>4.149999999999999</v>
      </c>
      <c r="N143" s="269" t="str">
        <f>IF(AND(K143="",M143=""),"",IF(OR(SUM($O$137:$P$141,K$143:K143,M$143:M143)&lt;=25,AND(SUM($O$137:$P$141,K$142:K142,M$142:M142)&lt;=25,SUM($O$137:$P$141,K$143:K143,M$143:M143)&gt;25)),"O","N"))</f>
        <v>O</v>
      </c>
      <c r="O143" s="144">
        <f>IF(OR(N143="N",N143=""),"",IF(K143="","",IF((25-SUM(O$137:O142,P$137:P142))&gt;K143,K143,25-SUM(O$137:O142,P$137:P142))))</f>
      </c>
      <c r="P143" s="145">
        <f>IF(OR(N143="N",N143=""),"",IF(M143="","",IF(25-SUM($O$137:O143,$P$137:P142)&gt;M143,M143,25-SUM($O$137:O143,$P$137:P142))))</f>
        <v>4.149999999999999</v>
      </c>
      <c r="Q143" s="146">
        <f aca="true" t="shared" si="110" ref="Q143:Q154">IF(AND(N143="O",SUM(O143,P143)=SUM(K143,M143)),"",IF(AND(N143="O",SUM(O143,P143)&lt;SUM(K143,M143)),"O",IF(N143="N","O","")))</f>
      </c>
      <c r="R143" s="146">
        <f aca="true" t="shared" si="111" ref="R143:R154">IF(Q143="","",IF(AND(N143="O",Q143="O"),IF(K143="","",K143-O143),IF(N143="N",IF(K143="","",K143),"")))</f>
      </c>
      <c r="S143" s="147">
        <f aca="true" t="shared" si="112" ref="S143:S154">IF(Q143="","",IF(AND(N143="O",Q143="O"),IF(M143="","",M143-P143),IF(N143="N",IF(M143="","",M143),"")))</f>
      </c>
      <c r="T143" s="23">
        <f>IF(N143="O",MAX(T$135:T142)+1,"")</f>
        <v>4</v>
      </c>
      <c r="U143" s="23">
        <f>IF(Q143="O",MAX(U$135:U142)+1,"")</f>
      </c>
      <c r="V143" s="106">
        <f>IF(W143&lt;&gt;"",VLOOKUP($B$20,'Grille IND'!$A$5:$F$653,3,FALSE),"")</f>
        <v>15.91</v>
      </c>
      <c r="W143" s="106">
        <f aca="true" t="shared" si="113" ref="W143:W155">IF(T143="","",IF(OR(AO143="D",AO143="F"),"",IF(OR(AND(N143="O",Q143="",P143&lt;=14),AND(N143="O",Q143="O",P143&lt;=14)),P143,14)))</f>
        <v>4.149999999999999</v>
      </c>
      <c r="X143" s="107">
        <f>IF(Y143&lt;&gt;"",VLOOKUP($B$20,'Grille IND'!$A$5:$F$653,4,FALSE),"")</f>
      </c>
      <c r="Y143" s="107">
        <f aca="true" t="shared" si="114" ref="Y143:Y155">IF(T143="","",IF(OR(AO143="D",AO143="F"),"",IF(OR(AND(N143="O",Q143="",P143&gt;14),AND(N143="O",Q143="O",P143&gt;14)),P143-14,"")))</f>
      </c>
      <c r="Z143" s="108">
        <f>IF(AA143&lt;&gt;"",VLOOKUP($B$20,'Grille IND'!$A$5:$F$653,5,FALSE),"")</f>
      </c>
      <c r="AA143" s="108">
        <f aca="true" t="shared" si="115" ref="AA143:AA155">IF(T143="","",IF(OR(AND(OR(AO143="D",AO143="F"),N143="O",Q143=""),AND(OR(AO143="D",AO143="F"),N143="O",Q143="O")),P143,""))</f>
      </c>
      <c r="AB143" s="109">
        <f>IF(AC143&lt;&gt;"",VLOOKUP($B$20,'Grille IND'!$A$5:$F$653,6,FALSE),"")</f>
      </c>
      <c r="AC143" s="109">
        <f aca="true" t="shared" si="116" ref="AC143:AC155">IF(T143="","",IF(O143="","",O143))</f>
      </c>
      <c r="AO143" s="105">
        <f t="shared" si="100"/>
      </c>
    </row>
    <row r="144" spans="1:41" ht="15">
      <c r="A144" s="348"/>
      <c r="B144" s="139"/>
      <c r="C144" s="334"/>
      <c r="D144" s="133">
        <v>43057</v>
      </c>
      <c r="E144" s="206">
        <v>0.7083333333333334</v>
      </c>
      <c r="F144" s="216">
        <v>0.96875</v>
      </c>
      <c r="G144" s="216">
        <f t="shared" si="103"/>
        <v>0.26041666666666663</v>
      </c>
      <c r="H144" s="148">
        <f t="shared" si="104"/>
      </c>
      <c r="I144" s="216">
        <f t="shared" si="105"/>
        <v>0.05208333333333337</v>
      </c>
      <c r="J144" s="206">
        <f t="shared" si="106"/>
        <v>0.05208333333333337</v>
      </c>
      <c r="K144" s="126">
        <f t="shared" si="107"/>
        <v>1.2500000000000009</v>
      </c>
      <c r="L144" s="206">
        <f t="shared" si="108"/>
        <v>0.20833333333333326</v>
      </c>
      <c r="M144" s="126">
        <f t="shared" si="109"/>
        <v>4.999999999999998</v>
      </c>
      <c r="N144" s="270" t="str">
        <f>IF(AND(K144="",M144=""),"",IF(OR(SUM($O$137:$P$141,K$143:K144,M$143:M144)&lt;=25,AND(SUM($O$137:$P$141,K$142:K143,M$142:M143)&lt;=25,SUM($O$137:$P$141,K$143:K144,M$143:M144)&gt;25)),"O","N"))</f>
        <v>O</v>
      </c>
      <c r="O144" s="132">
        <f>IF(OR(N144="N",N144=""),"",IF(K144="","",IF((25-SUM(O$137:O143,P$137:P143))&gt;K144,K144,25-SUM(O$137:O143,P$137:P143))))</f>
        <v>1.2500000000000009</v>
      </c>
      <c r="P144" s="149">
        <f>IF(OR(N144="N",N144=""),"",IF(M144="","",IF(25-SUM($O$137:O144,$P$137:P143)&gt;M144,M144,25-SUM($O$137:O144,$P$137:P143))))</f>
        <v>2.550000000000008</v>
      </c>
      <c r="Q144" s="127" t="str">
        <f t="shared" si="110"/>
        <v>O</v>
      </c>
      <c r="R144" s="127">
        <f t="shared" si="111"/>
        <v>0</v>
      </c>
      <c r="S144" s="150">
        <f t="shared" si="112"/>
        <v>2.4499999999999904</v>
      </c>
      <c r="T144" s="23">
        <f>IF(N144="O",MAX(T$135:T143)+1,"")</f>
        <v>5</v>
      </c>
      <c r="U144" s="23">
        <f>IF(Q144="O",MAX(U$135:U143)+1,"")</f>
        <v>1</v>
      </c>
      <c r="V144" s="106">
        <f>IF(W144&lt;&gt;"",VLOOKUP($B$20,'Grille IND'!$A$5:$F$653,3,FALSE),"")</f>
        <v>15.91</v>
      </c>
      <c r="W144" s="106">
        <f t="shared" si="113"/>
        <v>2.550000000000008</v>
      </c>
      <c r="X144" s="107">
        <f>IF(Y144&lt;&gt;"",VLOOKUP($B$20,'Grille IND'!$A$5:$F$653,4,FALSE),"")</f>
      </c>
      <c r="Y144" s="107">
        <f t="shared" si="114"/>
      </c>
      <c r="Z144" s="108">
        <f>IF(AA144&lt;&gt;"",VLOOKUP($B$20,'Grille IND'!$A$5:$F$653,5,FALSE),"")</f>
      </c>
      <c r="AA144" s="108">
        <f t="shared" si="115"/>
      </c>
      <c r="AB144" s="109">
        <f>IF(AC144&lt;&gt;"",VLOOKUP($B$20,'Grille IND'!$A$5:$F$653,6,FALSE),"")</f>
        <v>31.82</v>
      </c>
      <c r="AC144" s="109">
        <f t="shared" si="116"/>
        <v>1.2500000000000009</v>
      </c>
      <c r="AO144" s="105">
        <f t="shared" si="100"/>
      </c>
    </row>
    <row r="145" spans="1:41" ht="15">
      <c r="A145" s="348"/>
      <c r="B145" s="139"/>
      <c r="C145" s="334"/>
      <c r="D145" s="133">
        <v>43058</v>
      </c>
      <c r="E145" s="206">
        <v>0.375</v>
      </c>
      <c r="F145" s="216">
        <v>0.5520833333333334</v>
      </c>
      <c r="G145" s="216">
        <f t="shared" si="103"/>
        <v>0.17708333333333337</v>
      </c>
      <c r="H145" s="148">
        <f t="shared" si="104"/>
      </c>
      <c r="I145" s="216">
        <f t="shared" si="105"/>
      </c>
      <c r="J145" s="206">
        <f t="shared" si="106"/>
      </c>
      <c r="K145" s="126">
        <f t="shared" si="107"/>
      </c>
      <c r="L145" s="206">
        <f t="shared" si="108"/>
        <v>0.17708333333333337</v>
      </c>
      <c r="M145" s="126">
        <f t="shared" si="109"/>
        <v>4.250000000000001</v>
      </c>
      <c r="N145" s="270" t="str">
        <f>IF(AND(K145="",M145=""),"",IF(OR(SUM($O$137:$P$141,K$143:K145,M$143:M145)&lt;=25,AND(SUM($O$137:$P$141,K$142:K144,M$142:M144)&lt;=25,SUM($O$137:$P$141,K$143:K145,M$143:M145)&gt;25)),"O","N"))</f>
        <v>N</v>
      </c>
      <c r="O145" s="132">
        <f>IF(OR(N145="N",N145=""),"",IF(K145="","",IF((25-SUM(O$137:O144,P$137:P144))&gt;K145,K145,25-SUM(O$137:O144,P$137:P144))))</f>
      </c>
      <c r="P145" s="149">
        <f>IF(OR(N145="N",N145=""),"",IF(M145="","",IF(25-SUM($O$137:O145,$P$137:P144)&gt;M145,M145,25-SUM($O$137:O145,$P$137:P144))))</f>
      </c>
      <c r="Q145" s="127" t="str">
        <f t="shared" si="110"/>
        <v>O</v>
      </c>
      <c r="R145" s="127">
        <f t="shared" si="111"/>
      </c>
      <c r="S145" s="150">
        <f t="shared" si="112"/>
        <v>4.250000000000001</v>
      </c>
      <c r="T145" s="23">
        <f>IF(N145="O",MAX(T$135:T144)+1,"")</f>
      </c>
      <c r="U145" s="23">
        <f>IF(Q145="O",MAX(U$135:U144)+1,"")</f>
        <v>2</v>
      </c>
      <c r="V145" s="106">
        <f>IF(W145&lt;&gt;"",VLOOKUP($B$20,'Grille IND'!$A$5:$F$653,3,FALSE),"")</f>
      </c>
      <c r="W145" s="106">
        <f t="shared" si="113"/>
      </c>
      <c r="X145" s="107">
        <f>IF(Y145&lt;&gt;"",VLOOKUP($B$20,'Grille IND'!$A$5:$F$653,4,FALSE),"")</f>
      </c>
      <c r="Y145" s="107">
        <f t="shared" si="114"/>
      </c>
      <c r="Z145" s="108">
        <f>IF(AA145&lt;&gt;"",VLOOKUP($B$20,'Grille IND'!$A$5:$F$653,5,FALSE),"")</f>
      </c>
      <c r="AA145" s="108">
        <f t="shared" si="115"/>
      </c>
      <c r="AB145" s="109">
        <f>IF(AC145&lt;&gt;"",VLOOKUP($B$20,'Grille IND'!$A$5:$F$653,6,FALSE),"")</f>
      </c>
      <c r="AC145" s="109">
        <f t="shared" si="116"/>
      </c>
      <c r="AO145" s="105" t="str">
        <f t="shared" si="100"/>
        <v>D</v>
      </c>
    </row>
    <row r="146" spans="1:41" ht="15">
      <c r="A146" s="348"/>
      <c r="B146" s="139"/>
      <c r="C146" s="334"/>
      <c r="D146" s="133">
        <v>43059</v>
      </c>
      <c r="E146" s="206">
        <v>0.3333333333333333</v>
      </c>
      <c r="F146" s="216">
        <v>0.5069444444444444</v>
      </c>
      <c r="G146" s="216">
        <f t="shared" si="103"/>
        <v>0.1736111111111111</v>
      </c>
      <c r="H146" s="148">
        <f t="shared" si="104"/>
      </c>
      <c r="I146" s="216">
        <f t="shared" si="105"/>
      </c>
      <c r="J146" s="221">
        <f t="shared" si="106"/>
      </c>
      <c r="K146" s="151">
        <f t="shared" si="107"/>
      </c>
      <c r="L146" s="207">
        <f t="shared" si="108"/>
        <v>0.1736111111111111</v>
      </c>
      <c r="M146" s="152">
        <f t="shared" si="109"/>
        <v>4.166666666666666</v>
      </c>
      <c r="N146" s="270" t="str">
        <f>IF(AND(K146="",M146=""),"",IF(OR(SUM($O$137:$P$141,K$143:K146,M$143:M146)&lt;=25,AND(SUM($O$137:$P$141,K$142:K145,M$142:M145)&lt;=25,SUM($O$137:$P$141,K$143:K146,M$143:M146)&gt;25)),"O","N"))</f>
        <v>N</v>
      </c>
      <c r="O146" s="132">
        <f>IF(OR(N146="N",N146=""),"",IF(K146="","",IF((25-SUM(O$137:O145,P$137:P145))&gt;K146,K146,25-SUM(O$137:O145,P$137:P145))))</f>
      </c>
      <c r="P146" s="153">
        <f>IF(OR(N146="N",N146=""),"",IF(M146="","",IF(25-SUM($O$137:O146,$P$137:P145)&gt;M146,M146,25-SUM($O$137:O146,$P$137:P145))))</f>
      </c>
      <c r="Q146" s="22" t="str">
        <f t="shared" si="110"/>
        <v>O</v>
      </c>
      <c r="R146" s="22">
        <f t="shared" si="111"/>
      </c>
      <c r="S146" s="154">
        <f t="shared" si="112"/>
        <v>4.166666666666666</v>
      </c>
      <c r="T146" s="23">
        <f>IF(N146="O",MAX(T$135:T145)+1,"")</f>
      </c>
      <c r="U146" s="23">
        <f>IF(Q146="O",MAX(U$135:U145)+1,"")</f>
        <v>3</v>
      </c>
      <c r="V146" s="106">
        <f>IF(W146&lt;&gt;"",VLOOKUP($B$20,'Grille IND'!$A$5:$F$653,3,FALSE),"")</f>
      </c>
      <c r="W146" s="106">
        <f t="shared" si="113"/>
      </c>
      <c r="X146" s="107">
        <f>IF(Y146&lt;&gt;"",VLOOKUP($B$20,'Grille IND'!$A$5:$F$653,4,FALSE),"")</f>
      </c>
      <c r="Y146" s="107">
        <f t="shared" si="114"/>
      </c>
      <c r="Z146" s="108">
        <f>IF(AA146&lt;&gt;"",VLOOKUP($B$20,'Grille IND'!$A$5:$F$653,5,FALSE),"")</f>
      </c>
      <c r="AA146" s="108">
        <f t="shared" si="115"/>
      </c>
      <c r="AB146" s="109">
        <f>IF(AC146&lt;&gt;"",VLOOKUP($B$20,'Grille IND'!$A$5:$F$653,6,FALSE),"")</f>
      </c>
      <c r="AC146" s="109">
        <f t="shared" si="116"/>
      </c>
      <c r="AO146" s="105">
        <f t="shared" si="100"/>
      </c>
    </row>
    <row r="147" spans="1:41" ht="15">
      <c r="A147" s="348"/>
      <c r="B147" s="139"/>
      <c r="C147" s="334"/>
      <c r="D147" s="133">
        <v>43060</v>
      </c>
      <c r="E147" s="217">
        <v>0.7916666666666666</v>
      </c>
      <c r="F147" s="218">
        <v>0.8819444444444445</v>
      </c>
      <c r="G147" s="218">
        <f t="shared" si="103"/>
        <v>0.0902777777777779</v>
      </c>
      <c r="H147" s="155">
        <f t="shared" si="104"/>
      </c>
      <c r="I147" s="218">
        <f t="shared" si="105"/>
      </c>
      <c r="J147" s="221">
        <f t="shared" si="106"/>
      </c>
      <c r="K147" s="151">
        <f t="shared" si="107"/>
      </c>
      <c r="L147" s="207">
        <f t="shared" si="108"/>
        <v>0.0902777777777779</v>
      </c>
      <c r="M147" s="152">
        <f t="shared" si="109"/>
        <v>2.1666666666666696</v>
      </c>
      <c r="N147" s="270" t="str">
        <f>IF(AND(K147="",M147=""),"",IF(OR(SUM($O$137:$P$141,K$143:K147,M$143:M147)&lt;=25,AND(SUM($O$137:$P$141,K$142:K146,M$142:M146)&lt;=25,SUM($O$137:$P$141,K$143:K147,M$143:M147)&gt;25)),"O","N"))</f>
        <v>N</v>
      </c>
      <c r="O147" s="132">
        <f>IF(OR(N147="N",N147=""),"",IF(K147="","",IF((25-SUM(O$137:O146,P$137:P146))&gt;K147,K147,25-SUM(O$137:O146,P$137:P146))))</f>
      </c>
      <c r="P147" s="153">
        <f>IF(OR(N147="N",N147=""),"",IF(M147="","",IF(25-SUM($O$137:O147,$P$137:P146)&gt;M147,M147,25-SUM($O$137:O147,$P$137:P146))))</f>
      </c>
      <c r="Q147" s="22" t="str">
        <f t="shared" si="110"/>
        <v>O</v>
      </c>
      <c r="R147" s="22">
        <f t="shared" si="111"/>
      </c>
      <c r="S147" s="154">
        <f t="shared" si="112"/>
        <v>2.1666666666666696</v>
      </c>
      <c r="T147" s="23">
        <f>IF(N147="O",MAX(T$135:T146)+1,"")</f>
      </c>
      <c r="U147" s="23">
        <f>IF(Q147="O",MAX(U$135:U146)+1,"")</f>
        <v>4</v>
      </c>
      <c r="V147" s="106">
        <f>IF(W147&lt;&gt;"",VLOOKUP($B$20,'Grille IND'!$A$5:$F$653,3,FALSE),"")</f>
      </c>
      <c r="W147" s="106">
        <f t="shared" si="113"/>
      </c>
      <c r="X147" s="107">
        <f>IF(Y147&lt;&gt;"",VLOOKUP($B$20,'Grille IND'!$A$5:$F$653,4,FALSE),"")</f>
      </c>
      <c r="Y147" s="107">
        <f t="shared" si="114"/>
      </c>
      <c r="Z147" s="108">
        <f>IF(AA147&lt;&gt;"",VLOOKUP($B$20,'Grille IND'!$A$5:$F$653,5,FALSE),"")</f>
      </c>
      <c r="AA147" s="108">
        <f t="shared" si="115"/>
      </c>
      <c r="AB147" s="109">
        <f>IF(AC147&lt;&gt;"",VLOOKUP($B$20,'Grille IND'!$A$5:$F$653,6,FALSE),"")</f>
      </c>
      <c r="AC147" s="109">
        <f t="shared" si="116"/>
      </c>
      <c r="AO147" s="105">
        <f t="shared" si="100"/>
      </c>
    </row>
    <row r="148" spans="1:41" ht="15">
      <c r="A148" s="348"/>
      <c r="B148" s="139"/>
      <c r="C148" s="334"/>
      <c r="D148" s="156"/>
      <c r="E148" s="219"/>
      <c r="F148" s="220"/>
      <c r="G148" s="220">
        <f t="shared" si="103"/>
      </c>
      <c r="H148" s="220">
        <f t="shared" si="104"/>
      </c>
      <c r="I148" s="220">
        <f t="shared" si="105"/>
      </c>
      <c r="J148" s="206">
        <f t="shared" si="106"/>
      </c>
      <c r="K148" s="126">
        <f t="shared" si="107"/>
      </c>
      <c r="L148" s="206">
        <f t="shared" si="108"/>
      </c>
      <c r="M148" s="126">
        <f t="shared" si="109"/>
      </c>
      <c r="N148" s="270">
        <f>IF(AND(K148="",M148=""),"",IF(OR(SUM($O$137:$P$141,K$143:K148,M$143:M148)&lt;=25,AND(SUM($O$137:$P$141,K$142:K147,M$142:M147)&lt;=25,SUM($O$137:$P$141,K$143:K148,M$143:M148)&gt;25)),"O","N"))</f>
      </c>
      <c r="O148" s="132">
        <f>IF(OR(N148="N",N148=""),"",IF(K148="","",IF((25-SUM(O$137:O147,P$137:P147))&gt;K148,K148,25-SUM(O$137:O147,P$137:P147))))</f>
      </c>
      <c r="P148" s="153">
        <f>IF(OR(N148="N",N148=""),"",IF(M148="","",IF(25-SUM($O$137:O148,$P$137:P147)&gt;M148,M148,25-SUM($O$137:O148,$P$137:P147))))</f>
      </c>
      <c r="Q148" s="127">
        <f t="shared" si="110"/>
      </c>
      <c r="R148" s="127">
        <f t="shared" si="111"/>
      </c>
      <c r="S148" s="150">
        <f t="shared" si="112"/>
      </c>
      <c r="T148" s="23">
        <f>IF(N148="O",MAX(T$135:T147)+1,"")</f>
      </c>
      <c r="U148" s="23">
        <f>IF(Q148="O",MAX(U$135:U147)+1,"")</f>
      </c>
      <c r="V148" s="106">
        <f>IF(W148&lt;&gt;"",VLOOKUP($B$20,'Grille IND'!$A$5:$F$653,3,FALSE),"")</f>
      </c>
      <c r="W148" s="106">
        <f t="shared" si="113"/>
      </c>
      <c r="X148" s="107">
        <f>IF(Y148&lt;&gt;"",VLOOKUP($B$20,'Grille IND'!$A$5:$F$653,4,FALSE),"")</f>
      </c>
      <c r="Y148" s="107">
        <f t="shared" si="114"/>
      </c>
      <c r="Z148" s="108">
        <f>IF(AA148&lt;&gt;"",VLOOKUP($B$20,'Grille IND'!$A$5:$F$653,5,FALSE),"")</f>
      </c>
      <c r="AA148" s="108">
        <f t="shared" si="115"/>
      </c>
      <c r="AB148" s="109">
        <f>IF(AC148&lt;&gt;"",VLOOKUP($B$20,'Grille IND'!$A$5:$F$653,6,FALSE),"")</f>
      </c>
      <c r="AC148" s="109">
        <f t="shared" si="116"/>
      </c>
      <c r="AO148" s="105">
        <f t="shared" si="100"/>
      </c>
    </row>
    <row r="149" spans="1:41" ht="15">
      <c r="A149" s="348"/>
      <c r="B149" s="139"/>
      <c r="C149" s="334"/>
      <c r="D149" s="156"/>
      <c r="E149" s="219"/>
      <c r="F149" s="220"/>
      <c r="G149" s="220">
        <f t="shared" si="103"/>
      </c>
      <c r="H149" s="220">
        <f t="shared" si="104"/>
      </c>
      <c r="I149" s="220">
        <f t="shared" si="105"/>
      </c>
      <c r="J149" s="206">
        <f t="shared" si="106"/>
      </c>
      <c r="K149" s="126">
        <f t="shared" si="107"/>
      </c>
      <c r="L149" s="206">
        <f t="shared" si="108"/>
      </c>
      <c r="M149" s="126">
        <f t="shared" si="109"/>
      </c>
      <c r="N149" s="270">
        <f>IF(AND(K149="",M149=""),"",IF(OR(SUM($O$137:$P$141,K$143:K149,M$143:M149)&lt;=25,AND(SUM($O$137:$P$141,K$142:K148,M$142:M148)&lt;=25,SUM($O$137:$P$141,K$143:K149,M$143:M149)&gt;25)),"O","N"))</f>
      </c>
      <c r="O149" s="132">
        <f>IF(OR(N149="N",N149=""),"",IF(K149="","",IF((25-SUM(O$137:O148,P$137:P148))&gt;K149,K149,25-SUM(O$137:O148,P$137:P148))))</f>
      </c>
      <c r="P149" s="153">
        <f>IF(OR(N149="N",N149=""),"",IF(M149="","",IF(25-SUM($O$137:O149,$P$137:P148)&gt;M149,M149,25-SUM($O$137:O149,$P$137:P148))))</f>
      </c>
      <c r="Q149" s="127">
        <f t="shared" si="110"/>
      </c>
      <c r="R149" s="127">
        <f t="shared" si="111"/>
      </c>
      <c r="S149" s="150">
        <f t="shared" si="112"/>
      </c>
      <c r="T149" s="23">
        <f>IF(N149="O",MAX(T$135:T148)+1,"")</f>
      </c>
      <c r="U149" s="23">
        <f>IF(Q149="O",MAX(U$135:U148)+1,"")</f>
      </c>
      <c r="V149" s="106">
        <f>IF(W149&lt;&gt;"",VLOOKUP($B$20,'Grille IND'!$A$5:$F$653,3,FALSE),"")</f>
      </c>
      <c r="W149" s="106">
        <f t="shared" si="113"/>
      </c>
      <c r="X149" s="107">
        <f>IF(Y149&lt;&gt;"",VLOOKUP($B$20,'Grille IND'!$A$5:$F$653,4,FALSE),"")</f>
      </c>
      <c r="Y149" s="107">
        <f t="shared" si="114"/>
      </c>
      <c r="Z149" s="108">
        <f>IF(AA149&lt;&gt;"",VLOOKUP($B$20,'Grille IND'!$A$5:$F$653,5,FALSE),"")</f>
      </c>
      <c r="AA149" s="108">
        <f t="shared" si="115"/>
      </c>
      <c r="AB149" s="109">
        <f>IF(AC149&lt;&gt;"",VLOOKUP($B$20,'Grille IND'!$A$5:$F$653,6,FALSE),"")</f>
      </c>
      <c r="AC149" s="109">
        <f t="shared" si="116"/>
      </c>
      <c r="AO149" s="105">
        <f t="shared" si="100"/>
      </c>
    </row>
    <row r="150" spans="1:41" ht="15">
      <c r="A150" s="348"/>
      <c r="B150" s="139"/>
      <c r="C150" s="334"/>
      <c r="D150" s="156"/>
      <c r="E150" s="219"/>
      <c r="F150" s="220"/>
      <c r="G150" s="220">
        <f t="shared" si="103"/>
      </c>
      <c r="H150" s="220">
        <f t="shared" si="104"/>
      </c>
      <c r="I150" s="220">
        <f t="shared" si="105"/>
      </c>
      <c r="J150" s="206">
        <f aca="true" t="shared" si="117" ref="J150:J155">IF(AND(H150="",I150=""),"",SUM(H150,I150))</f>
      </c>
      <c r="K150" s="126">
        <f t="shared" si="107"/>
      </c>
      <c r="L150" s="206">
        <f t="shared" si="108"/>
      </c>
      <c r="M150" s="126">
        <f t="shared" si="109"/>
      </c>
      <c r="N150" s="270">
        <f>IF(AND(K150="",M150=""),"",IF(OR(SUM($O$137:$P$141,K$143:K150,M$143:M150)&lt;=25,AND(SUM($O$137:$P$141,K$142:K149,M$142:M149)&lt;=25,SUM($O$137:$P$141,K$143:K150,M$143:M150)&gt;25)),"O","N"))</f>
      </c>
      <c r="O150" s="132">
        <f>IF(OR(N150="N",N150=""),"",IF(K150="","",IF((25-SUM(O$137:O149,P$137:P149))&gt;K150,K150,25-SUM(O$137:O149,P$137:P149))))</f>
      </c>
      <c r="P150" s="153">
        <f>IF(OR(N150="N",N150=""),"",IF(M150="","",IF(25-SUM($O$137:O150,$P$137:P149)&gt;M150,M150,25-SUM($O$137:O150,$P$137:P149))))</f>
      </c>
      <c r="Q150" s="127">
        <f t="shared" si="110"/>
      </c>
      <c r="R150" s="127">
        <f t="shared" si="111"/>
      </c>
      <c r="S150" s="150">
        <f t="shared" si="112"/>
      </c>
      <c r="T150" s="23">
        <f>IF(N150="O",MAX(T$135:T149)+1,"")</f>
      </c>
      <c r="U150" s="23">
        <f>IF(Q150="O",MAX(U$135:U149)+1,"")</f>
      </c>
      <c r="V150" s="106">
        <f>IF(W150&lt;&gt;"",VLOOKUP($B$20,'Grille IND'!$A$5:$F$653,3,FALSE),"")</f>
      </c>
      <c r="W150" s="106">
        <f t="shared" si="113"/>
      </c>
      <c r="X150" s="107">
        <f>IF(Y150&lt;&gt;"",VLOOKUP($B$20,'Grille IND'!$A$5:$F$653,4,FALSE),"")</f>
      </c>
      <c r="Y150" s="107">
        <f t="shared" si="114"/>
      </c>
      <c r="Z150" s="108">
        <f>IF(AA150&lt;&gt;"",VLOOKUP($B$20,'Grille IND'!$A$5:$F$653,5,FALSE),"")</f>
      </c>
      <c r="AA150" s="108">
        <f t="shared" si="115"/>
      </c>
      <c r="AB150" s="109">
        <f>IF(AC150&lt;&gt;"",VLOOKUP($B$20,'Grille IND'!$A$5:$F$653,6,FALSE),"")</f>
      </c>
      <c r="AC150" s="109">
        <f t="shared" si="116"/>
      </c>
      <c r="AO150" s="105">
        <f t="shared" si="100"/>
      </c>
    </row>
    <row r="151" spans="1:41" ht="15">
      <c r="A151" s="348"/>
      <c r="B151" s="139"/>
      <c r="C151" s="334"/>
      <c r="D151" s="156"/>
      <c r="E151" s="219"/>
      <c r="F151" s="220"/>
      <c r="G151" s="220">
        <f t="shared" si="103"/>
      </c>
      <c r="H151" s="220">
        <f t="shared" si="104"/>
      </c>
      <c r="I151" s="220">
        <f t="shared" si="105"/>
      </c>
      <c r="J151" s="206">
        <f t="shared" si="117"/>
      </c>
      <c r="K151" s="126">
        <f t="shared" si="107"/>
      </c>
      <c r="L151" s="206">
        <f t="shared" si="108"/>
      </c>
      <c r="M151" s="126">
        <f t="shared" si="109"/>
      </c>
      <c r="N151" s="270">
        <f>IF(AND(K151="",M151=""),"",IF(OR(SUM($O$137:$P$141,K$143:K151,M$143:M151)&lt;=25,AND(SUM($O$137:$P$141,K$142:K150,M$142:M150)&lt;=25,SUM($O$137:$P$141,K$143:K151,M$143:M151)&gt;25)),"O","N"))</f>
      </c>
      <c r="O151" s="132">
        <f>IF(OR(N151="N",N151=""),"",IF(K151="","",IF((25-SUM(O$137:O150,P$137:P150))&gt;K151,K151,25-SUM(O$137:O150,P$137:P150))))</f>
      </c>
      <c r="P151" s="153">
        <f>IF(OR(N151="N",N151=""),"",IF(M151="","",IF(25-SUM($O$137:O151,$P$137:P150)&gt;M151,M151,25-SUM($O$137:O151,$P$137:P150))))</f>
      </c>
      <c r="Q151" s="127">
        <f t="shared" si="110"/>
      </c>
      <c r="R151" s="127">
        <f t="shared" si="111"/>
      </c>
      <c r="S151" s="150">
        <f t="shared" si="112"/>
      </c>
      <c r="T151" s="23">
        <f>IF(N151="O",MAX(T$135:T150)+1,"")</f>
      </c>
      <c r="U151" s="23">
        <f>IF(Q151="O",MAX(U$135:U150)+1,"")</f>
      </c>
      <c r="V151" s="106">
        <f>IF(W151&lt;&gt;"",VLOOKUP($B$20,'Grille IND'!$A$5:$F$653,3,FALSE),"")</f>
      </c>
      <c r="W151" s="106">
        <f t="shared" si="113"/>
      </c>
      <c r="X151" s="107">
        <f>IF(Y151&lt;&gt;"",VLOOKUP($B$20,'Grille IND'!$A$5:$F$653,4,FALSE),"")</f>
      </c>
      <c r="Y151" s="107">
        <f t="shared" si="114"/>
      </c>
      <c r="Z151" s="108">
        <f>IF(AA151&lt;&gt;"",VLOOKUP($B$20,'Grille IND'!$A$5:$F$653,5,FALSE),"")</f>
      </c>
      <c r="AA151" s="108">
        <f t="shared" si="115"/>
      </c>
      <c r="AB151" s="109">
        <f>IF(AC151&lt;&gt;"",VLOOKUP($B$20,'Grille IND'!$A$5:$F$653,6,FALSE),"")</f>
      </c>
      <c r="AC151" s="109">
        <f t="shared" si="116"/>
      </c>
      <c r="AO151" s="105">
        <f t="shared" si="100"/>
      </c>
    </row>
    <row r="152" spans="1:41" ht="15">
      <c r="A152" s="348"/>
      <c r="B152" s="139"/>
      <c r="C152" s="334"/>
      <c r="D152" s="156"/>
      <c r="E152" s="219"/>
      <c r="F152" s="220"/>
      <c r="G152" s="220">
        <f t="shared" si="103"/>
      </c>
      <c r="H152" s="220">
        <f t="shared" si="104"/>
      </c>
      <c r="I152" s="220">
        <f t="shared" si="105"/>
      </c>
      <c r="J152" s="206">
        <f t="shared" si="117"/>
      </c>
      <c r="K152" s="126">
        <f t="shared" si="107"/>
      </c>
      <c r="L152" s="206">
        <f t="shared" si="108"/>
      </c>
      <c r="M152" s="126">
        <f t="shared" si="109"/>
      </c>
      <c r="N152" s="270">
        <f>IF(AND(K152="",M152=""),"",IF(OR(SUM($O$137:$P$141,K$143:K152,M$143:M152)&lt;=25,AND(SUM($O$137:$P$141,K$142:K151,M$142:M151)&lt;=25,SUM($O$137:$P$141,K$143:K152,M$143:M152)&gt;25)),"O","N"))</f>
      </c>
      <c r="O152" s="132">
        <f>IF(OR(N152="N",N152=""),"",IF(K152="","",IF((25-SUM(O$137:O151,P$137:P151))&gt;K152,K152,25-SUM(O$137:O151,P$137:P151))))</f>
      </c>
      <c r="P152" s="153">
        <f>IF(OR(N152="N",N152=""),"",IF(M152="","",IF(25-SUM($O$137:O152,$P$137:P151)&gt;M152,M152,25-SUM($O$137:O152,$P$137:P151))))</f>
      </c>
      <c r="Q152" s="127">
        <f t="shared" si="110"/>
      </c>
      <c r="R152" s="127">
        <f t="shared" si="111"/>
      </c>
      <c r="S152" s="150">
        <f t="shared" si="112"/>
      </c>
      <c r="T152" s="23">
        <f>IF(N152="O",MAX(T$135:T151)+1,"")</f>
      </c>
      <c r="U152" s="23">
        <f>IF(Q152="O",MAX(U$135:U151)+1,"")</f>
      </c>
      <c r="V152" s="106">
        <f>IF(W152&lt;&gt;"",VLOOKUP($B$20,'Grille IND'!$A$5:$F$653,3,FALSE),"")</f>
      </c>
      <c r="W152" s="106">
        <f t="shared" si="113"/>
      </c>
      <c r="X152" s="107">
        <f>IF(Y152&lt;&gt;"",VLOOKUP($B$20,'Grille IND'!$A$5:$F$653,4,FALSE),"")</f>
      </c>
      <c r="Y152" s="107">
        <f t="shared" si="114"/>
      </c>
      <c r="Z152" s="108">
        <f>IF(AA152&lt;&gt;"",VLOOKUP($B$20,'Grille IND'!$A$5:$F$653,5,FALSE),"")</f>
      </c>
      <c r="AA152" s="108">
        <f t="shared" si="115"/>
      </c>
      <c r="AB152" s="109">
        <f>IF(AC152&lt;&gt;"",VLOOKUP($B$20,'Grille IND'!$A$5:$F$653,6,FALSE),"")</f>
      </c>
      <c r="AC152" s="109">
        <f t="shared" si="116"/>
      </c>
      <c r="AO152" s="105">
        <f t="shared" si="100"/>
      </c>
    </row>
    <row r="153" spans="1:41" ht="15">
      <c r="A153" s="348"/>
      <c r="B153" s="139"/>
      <c r="C153" s="334"/>
      <c r="D153" s="156"/>
      <c r="E153" s="219"/>
      <c r="F153" s="220"/>
      <c r="G153" s="220">
        <f t="shared" si="103"/>
      </c>
      <c r="H153" s="220">
        <f t="shared" si="104"/>
      </c>
      <c r="I153" s="220">
        <f t="shared" si="105"/>
      </c>
      <c r="J153" s="206">
        <f t="shared" si="117"/>
      </c>
      <c r="K153" s="126">
        <f t="shared" si="107"/>
      </c>
      <c r="L153" s="206">
        <f t="shared" si="108"/>
      </c>
      <c r="M153" s="126">
        <f t="shared" si="109"/>
      </c>
      <c r="N153" s="270">
        <f>IF(AND(K153="",M153=""),"",IF(OR(SUM($O$137:$P$141,K$143:K153,M$143:M153)&lt;=25,AND(SUM($O$137:$P$141,K$142:K152,M$142:M152)&lt;=25,SUM($O$137:$P$141,K$143:K153,M$143:M153)&gt;25)),"O","N"))</f>
      </c>
      <c r="O153" s="132">
        <f>IF(OR(N153="N",N153=""),"",IF(K153="","",IF((25-SUM(O$137:O152,P$137:P152))&gt;K153,K153,25-SUM(O$137:O152,P$137:P152))))</f>
      </c>
      <c r="P153" s="153">
        <f>IF(OR(N153="N",N153=""),"",IF(M153="","",IF(25-SUM($O$137:O153,$P$137:P152)&gt;M153,M153,25-SUM($O$137:O153,$P$137:P152))))</f>
      </c>
      <c r="Q153" s="127">
        <f t="shared" si="110"/>
      </c>
      <c r="R153" s="127">
        <f t="shared" si="111"/>
      </c>
      <c r="S153" s="150">
        <f t="shared" si="112"/>
      </c>
      <c r="T153" s="23">
        <f>IF(N153="O",MAX(T$135:T152)+1,"")</f>
      </c>
      <c r="U153" s="23">
        <f>IF(Q153="O",MAX(U$135:U152)+1,"")</f>
      </c>
      <c r="V153" s="106">
        <f>IF(W153&lt;&gt;"",VLOOKUP($B$20,'Grille IND'!$A$5:$F$653,3,FALSE),"")</f>
      </c>
      <c r="W153" s="106">
        <f t="shared" si="113"/>
      </c>
      <c r="X153" s="107">
        <f>IF(Y153&lt;&gt;"",VLOOKUP($B$20,'Grille IND'!$A$5:$F$653,4,FALSE),"")</f>
      </c>
      <c r="Y153" s="107">
        <f t="shared" si="114"/>
      </c>
      <c r="Z153" s="108">
        <f>IF(AA153&lt;&gt;"",VLOOKUP($B$20,'Grille IND'!$A$5:$F$653,5,FALSE),"")</f>
      </c>
      <c r="AA153" s="108">
        <f t="shared" si="115"/>
      </c>
      <c r="AB153" s="109">
        <f>IF(AC153&lt;&gt;"",VLOOKUP($B$20,'Grille IND'!$A$5:$F$653,6,FALSE),"")</f>
      </c>
      <c r="AC153" s="109">
        <f t="shared" si="116"/>
      </c>
      <c r="AO153" s="105">
        <f t="shared" si="100"/>
      </c>
    </row>
    <row r="154" spans="1:41" ht="15">
      <c r="A154" s="348"/>
      <c r="B154" s="139"/>
      <c r="C154" s="334"/>
      <c r="D154" s="156"/>
      <c r="E154" s="219"/>
      <c r="F154" s="220"/>
      <c r="G154" s="220">
        <f t="shared" si="103"/>
      </c>
      <c r="H154" s="220">
        <f t="shared" si="104"/>
      </c>
      <c r="I154" s="220">
        <f t="shared" si="105"/>
      </c>
      <c r="J154" s="206">
        <f t="shared" si="117"/>
      </c>
      <c r="K154" s="126">
        <f t="shared" si="107"/>
      </c>
      <c r="L154" s="206">
        <f t="shared" si="108"/>
      </c>
      <c r="M154" s="126">
        <f t="shared" si="109"/>
      </c>
      <c r="N154" s="270">
        <f>IF(AND(K154="",M154=""),"",IF(OR(SUM($O$137:$P$141,K$143:K154,M$143:M154)&lt;=25,AND(SUM($O$137:$P$141,K$142:K153,M$142:M153)&lt;=25,SUM($O$137:$P$141,K$143:K154,M$143:M154)&gt;25)),"O","N"))</f>
      </c>
      <c r="O154" s="132">
        <f>IF(OR(N154="N",N154=""),"",IF(K154="","",IF((25-SUM(O$137:O153,P$137:P153))&gt;K154,K154,25-SUM(O$137:O153,P$137:P153))))</f>
      </c>
      <c r="P154" s="153">
        <f>IF(OR(N154="N",N154=""),"",IF(M154="","",IF(25-SUM($O$137:O154,$P$137:P153)&gt;M154,M154,25-SUM($O$137:O154,$P$137:P153))))</f>
      </c>
      <c r="Q154" s="127">
        <f t="shared" si="110"/>
      </c>
      <c r="R154" s="127">
        <f t="shared" si="111"/>
      </c>
      <c r="S154" s="150">
        <f t="shared" si="112"/>
      </c>
      <c r="T154" s="23">
        <f>IF(N154="O",MAX(T$135:T153)+1,"")</f>
      </c>
      <c r="U154" s="23">
        <f>IF(Q154="O",MAX(U$135:U153)+1,"")</f>
      </c>
      <c r="V154" s="106">
        <f>IF(W154&lt;&gt;"",VLOOKUP($B$20,'Grille IND'!$A$5:$F$653,3,FALSE),"")</f>
      </c>
      <c r="W154" s="106">
        <f t="shared" si="113"/>
      </c>
      <c r="X154" s="107">
        <f>IF(Y154&lt;&gt;"",VLOOKUP($B$20,'Grille IND'!$A$5:$F$653,4,FALSE),"")</f>
      </c>
      <c r="Y154" s="107">
        <f t="shared" si="114"/>
      </c>
      <c r="Z154" s="108">
        <f>IF(AA154&lt;&gt;"",VLOOKUP($B$20,'Grille IND'!$A$5:$F$653,5,FALSE),"")</f>
      </c>
      <c r="AA154" s="108">
        <f t="shared" si="115"/>
      </c>
      <c r="AB154" s="109">
        <f>IF(AC154&lt;&gt;"",VLOOKUP($B$20,'Grille IND'!$A$5:$F$653,6,FALSE),"")</f>
      </c>
      <c r="AC154" s="109">
        <f t="shared" si="116"/>
      </c>
      <c r="AO154" s="105">
        <f t="shared" si="100"/>
      </c>
    </row>
    <row r="155" spans="1:41" ht="15">
      <c r="A155" s="348"/>
      <c r="B155" s="139"/>
      <c r="C155" s="334"/>
      <c r="D155" s="156"/>
      <c r="E155" s="219"/>
      <c r="F155" s="220"/>
      <c r="G155" s="220">
        <f t="shared" si="103"/>
      </c>
      <c r="H155" s="220">
        <f t="shared" si="104"/>
      </c>
      <c r="I155" s="220">
        <f t="shared" si="105"/>
      </c>
      <c r="J155" s="206">
        <f t="shared" si="117"/>
      </c>
      <c r="K155" s="126">
        <f t="shared" si="107"/>
      </c>
      <c r="L155" s="206">
        <f t="shared" si="108"/>
      </c>
      <c r="M155" s="126">
        <f t="shared" si="109"/>
      </c>
      <c r="N155" s="270">
        <f>IF(AND(K155="",M155=""),"",IF(OR(SUM($O$137:$P$141,K$143:K155,M$143:M155)&lt;=25,AND(SUM($O$137:$P$141,K$142:K154,M$142:M154)&lt;=25,SUM($O$137:$P$141,K$143:K155,M$143:M155)&gt;25)),"O","N"))</f>
      </c>
      <c r="O155" s="132">
        <f>IF(OR(N155="N",N155=""),"",IF(K155="","",IF((25-SUM(O$137:O154,P$137:P154))&gt;K155,K155,25-SUM(O$137:O154,P$137:P154))))</f>
      </c>
      <c r="P155" s="153">
        <f>IF(OR(N155="N",N155=""),"",IF(M155="","",IF(25-SUM($O$137:O155,$P$137:P154)&gt;M155,M155,25-SUM($O$137:O155,$P$137:P154))))</f>
      </c>
      <c r="Q155" s="127">
        <f>IF(AND(N155="O",SUM(O155,P155)=SUM(K155,M155)),"",IF(AND(N155="O",SUM(O155,P155)&lt;SUM(K155,M155)),"O",IF(N155="N","O","")))</f>
      </c>
      <c r="R155" s="127">
        <f>IF(Q155="","",IF(AND(N155="O",Q155="O"),IF(K155="","",K155-O155),IF(N155="N",IF(K155="","",K155),"")))</f>
      </c>
      <c r="S155" s="150">
        <f>IF(Q155="","",IF(AND(N155="O",Q155="O"),IF(M155="","",M155-P155),IF(N155="N",IF(M155="","",M155),"")))</f>
      </c>
      <c r="T155" s="23">
        <f>IF(N155="O",MAX(T$135:T154)+1,"")</f>
      </c>
      <c r="U155" s="23">
        <f>IF(Q155="O",MAX(U$135:U154)+1,"")</f>
      </c>
      <c r="V155" s="106">
        <f>IF(W155&lt;&gt;"",VLOOKUP($B$20,'Grille IND'!$A$5:$F$653,3,FALSE),"")</f>
      </c>
      <c r="W155" s="106">
        <f t="shared" si="113"/>
      </c>
      <c r="X155" s="107">
        <f>IF(Y155&lt;&gt;"",VLOOKUP($B$20,'Grille IND'!$A$5:$F$653,4,FALSE),"")</f>
      </c>
      <c r="Y155" s="107">
        <f t="shared" si="114"/>
      </c>
      <c r="Z155" s="108">
        <f>IF(AA155&lt;&gt;"",VLOOKUP($B$20,'Grille IND'!$A$5:$F$653,5,FALSE),"")</f>
      </c>
      <c r="AA155" s="108">
        <f t="shared" si="115"/>
      </c>
      <c r="AB155" s="109">
        <f>IF(AC155&lt;&gt;"",VLOOKUP($B$20,'Grille IND'!$A$5:$F$653,6,FALSE),"")</f>
      </c>
      <c r="AC155" s="109">
        <f t="shared" si="116"/>
      </c>
      <c r="AO155" s="105">
        <f t="shared" si="100"/>
      </c>
    </row>
    <row r="156" spans="1:41" ht="18" thickBot="1">
      <c r="A156" s="349"/>
      <c r="B156" s="183"/>
      <c r="C156" s="353"/>
      <c r="D156" s="164"/>
      <c r="E156" s="208"/>
      <c r="F156" s="230"/>
      <c r="G156" s="230"/>
      <c r="H156" s="335" t="s">
        <v>29</v>
      </c>
      <c r="I156" s="335"/>
      <c r="J156" s="208">
        <f>SUM(J143:J152)</f>
        <v>0.05208333333333337</v>
      </c>
      <c r="K156" s="163">
        <f>SUM(K137:K155)</f>
        <v>1.583333333333333</v>
      </c>
      <c r="L156" s="208">
        <f>SUM(L143:L152)</f>
        <v>0.8222222222222222</v>
      </c>
      <c r="M156" s="163">
        <f>SUM(M137:M155)</f>
        <v>44.233333333333334</v>
      </c>
      <c r="N156" s="162"/>
      <c r="O156" s="336">
        <f>SUM(O141:P155)</f>
        <v>7.950000000000007</v>
      </c>
      <c r="P156" s="336"/>
      <c r="Q156" s="177"/>
      <c r="R156" s="257">
        <f>SUM(R141:R155)</f>
        <v>0</v>
      </c>
      <c r="S156" s="257">
        <f>SUM(S141:S155)</f>
        <v>13.033333333333326</v>
      </c>
      <c r="V156" s="239"/>
      <c r="W156" s="239">
        <f>SUM(W137:W155)</f>
        <v>11.166666666666668</v>
      </c>
      <c r="X156" s="240"/>
      <c r="Y156" s="240">
        <f>SUM(Y137:Y155)</f>
        <v>0</v>
      </c>
      <c r="Z156" s="241"/>
      <c r="AA156" s="241">
        <f>SUM(AA137:AA155)</f>
        <v>12.249999999999996</v>
      </c>
      <c r="AB156" s="242"/>
      <c r="AC156" s="242">
        <f>SUM(AC137:AC155)</f>
        <v>1.583333333333333</v>
      </c>
      <c r="AO156" s="105">
        <f t="shared" si="100"/>
      </c>
    </row>
    <row r="157" spans="1:41" ht="18.75" customHeight="1" thickBot="1">
      <c r="A157" s="198"/>
      <c r="B157" s="195"/>
      <c r="C157" s="265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32">
        <f>IF(Q157="O",MAX(T$2:T156)+1,"")</f>
      </c>
      <c r="U157" s="23"/>
      <c r="V157" s="239"/>
      <c r="W157" s="239">
        <f>SUMPRODUCT(V137:V155,W137:W155)</f>
        <v>177.6616666666667</v>
      </c>
      <c r="X157" s="240"/>
      <c r="Y157" s="240">
        <f>SUMPRODUCT(X137:X155,Y137:Y155)</f>
        <v>0</v>
      </c>
      <c r="Z157" s="241"/>
      <c r="AA157" s="241">
        <f>SUMPRODUCT(Z137:Z155,AA137:AA155)</f>
        <v>324.86999999999995</v>
      </c>
      <c r="AB157" s="242"/>
      <c r="AC157" s="242">
        <f>SUMPRODUCT(AB137:AB155,AC137:AC155)</f>
        <v>50.38166666666665</v>
      </c>
      <c r="AD157" s="125"/>
      <c r="AO157" s="105">
        <f t="shared" si="100"/>
      </c>
    </row>
    <row r="158" spans="1:41" ht="15">
      <c r="A158" s="347" t="s">
        <v>166</v>
      </c>
      <c r="B158" s="24">
        <f>VLOOKUP($B$1,INFOS!A:AU,39,FALSE)</f>
        <v>457</v>
      </c>
      <c r="C158" s="354" t="s">
        <v>31</v>
      </c>
      <c r="D158" s="405" t="s">
        <v>170</v>
      </c>
      <c r="E158" s="398"/>
      <c r="F158" s="398"/>
      <c r="G158" s="398"/>
      <c r="H158" s="398"/>
      <c r="I158" s="398"/>
      <c r="J158" s="398"/>
      <c r="K158" s="398"/>
      <c r="L158" s="398"/>
      <c r="M158" s="399"/>
      <c r="N158" s="339" t="s">
        <v>32</v>
      </c>
      <c r="O158" s="340"/>
      <c r="P158" s="340"/>
      <c r="Q158" s="341"/>
      <c r="R158" s="345">
        <f>R156</f>
        <v>0</v>
      </c>
      <c r="S158" s="331">
        <f>S156</f>
        <v>13.033333333333326</v>
      </c>
      <c r="T158" s="31">
        <f>IF(N158="O",MAX(T$19:T157)+1,"")</f>
      </c>
      <c r="V158" s="99"/>
      <c r="W158" s="99"/>
      <c r="X158" s="99"/>
      <c r="Y158" s="99"/>
      <c r="Z158" s="99"/>
      <c r="AA158" s="99"/>
      <c r="AB158" s="99"/>
      <c r="AC158" s="99"/>
      <c r="AO158" s="397"/>
    </row>
    <row r="159" spans="1:41" ht="15">
      <c r="A159" s="348"/>
      <c r="B159" s="129">
        <f>VLOOKUP($B$1,INFOS!A:AU,40,FALSE)</f>
        <v>1</v>
      </c>
      <c r="C159" s="354"/>
      <c r="D159" s="408"/>
      <c r="E159" s="408"/>
      <c r="F159" s="408"/>
      <c r="G159" s="408"/>
      <c r="H159" s="408"/>
      <c r="I159" s="408"/>
      <c r="J159" s="408"/>
      <c r="K159" s="408"/>
      <c r="L159" s="408"/>
      <c r="M159" s="409"/>
      <c r="N159" s="342"/>
      <c r="O159" s="343"/>
      <c r="P159" s="343"/>
      <c r="Q159" s="344"/>
      <c r="R159" s="346"/>
      <c r="S159" s="332"/>
      <c r="T159" s="31">
        <f>IF(N159="O",MAX(T$19:T158)+1,"")</f>
      </c>
      <c r="V159" s="34"/>
      <c r="X159" s="34"/>
      <c r="Y159" s="34"/>
      <c r="Z159" s="34"/>
      <c r="AA159" s="34"/>
      <c r="AB159" s="34"/>
      <c r="AC159" s="34"/>
      <c r="AO159" s="397"/>
    </row>
    <row r="160" spans="1:41" ht="15">
      <c r="A160" s="348"/>
      <c r="B160" s="352" t="str">
        <f>VLOOKUP($B$1,INFOS!A:AU,9,FALSE)</f>
        <v>Direction Générale des Services</v>
      </c>
      <c r="C160" s="354"/>
      <c r="D160" s="171">
        <f>IF(ROWS($D$160:D160)&lt;=MAX($U$137:$U$155),INDEX($D$137:$D$155,MATCH(ROWS($D$160:D160),$U$137:$U$155,0)),"")</f>
        <v>43057</v>
      </c>
      <c r="E160" s="209">
        <f aca="true" t="shared" si="118" ref="E160:M160">IF($D160&lt;&gt;"",_xlfn.IFERROR(VLOOKUP($D160,$D$143:$S$155,COLUMN(B$1),0),""),"")</f>
        <v>0.7083333333333334</v>
      </c>
      <c r="F160" s="209">
        <f t="shared" si="118"/>
        <v>0.96875</v>
      </c>
      <c r="G160" s="209">
        <f t="shared" si="118"/>
        <v>0.26041666666666663</v>
      </c>
      <c r="H160" s="209">
        <f t="shared" si="118"/>
      </c>
      <c r="I160" s="209">
        <f t="shared" si="118"/>
        <v>0.05208333333333337</v>
      </c>
      <c r="J160" s="209">
        <f t="shared" si="118"/>
        <v>0.05208333333333337</v>
      </c>
      <c r="K160" s="160">
        <f t="shared" si="118"/>
        <v>1.2500000000000009</v>
      </c>
      <c r="L160" s="209">
        <f t="shared" si="118"/>
        <v>0.20833333333333326</v>
      </c>
      <c r="M160" s="160">
        <f t="shared" si="118"/>
        <v>4.999999999999998</v>
      </c>
      <c r="N160" s="281" t="str">
        <f>IF(OR(O160&lt;&gt;"",P160&lt;&gt;""),"O","")</f>
        <v>O</v>
      </c>
      <c r="O160" s="274">
        <f aca="true" t="shared" si="119" ref="O160:P164">IF($D160&lt;&gt;"",_xlfn.IFERROR(VLOOKUP($D160,$D$143:$S$155,COLUMN(O$1),0),""),"")</f>
        <v>0</v>
      </c>
      <c r="P160" s="274">
        <f t="shared" si="119"/>
        <v>2.4499999999999904</v>
      </c>
      <c r="Q160" s="282"/>
      <c r="R160" s="282"/>
      <c r="S160" s="288"/>
      <c r="T160" s="31">
        <f>IF(N160="O",MAX(T$158:T159)+1,"")</f>
        <v>1</v>
      </c>
      <c r="U160" s="31">
        <f>IF(Q160="O",MAX(U$158:U159)+1,"")</f>
      </c>
      <c r="V160" s="106">
        <f>IF(W160&lt;&gt;"",VLOOKUP($B$20,'Grille IND'!$A$5:$F$653,3,FALSE),"")</f>
        <v>15.91</v>
      </c>
      <c r="W160" s="106">
        <f>IF(T160="","",IF(OR(AO160="D",AO160="F"),"",IF(OR(AND(N160="O",Q160="",P160&lt;=14),AND(N160="O",Q160="O",P160&lt;=14)),P160,14)))</f>
        <v>2.4499999999999904</v>
      </c>
      <c r="X160" s="107">
        <f>IF(Y160&lt;&gt;"",VLOOKUP($B$20,'Grille IND'!$A$5:$F$653,4,FALSE),"")</f>
      </c>
      <c r="Y160" s="107">
        <f>IF(T160="","",IF(OR(AO160="D",AO160="F"),"",IF(OR(AND(N160="O",Q160="",P160&gt;14),AND(N160="O",Q160="O",P160&gt;14)),P160-14,"")))</f>
      </c>
      <c r="Z160" s="108">
        <f>IF(AA160&lt;&gt;"",VLOOKUP($B$20,'Grille IND'!$A$5:$F$653,5,FALSE),"")</f>
      </c>
      <c r="AA160" s="108">
        <f>IF(T160="","",IF(OR(AND(OR(AO160="D",AO160="F"),N160="O",Q160=""),AND(OR(AO160="D",AO160="F"),N160="O",Q160="O")),P160,""))</f>
      </c>
      <c r="AB160" s="109">
        <f>IF(AC160&lt;&gt;"",VLOOKUP($B$20,'Grille IND'!$A$5:$F$653,6,FALSE),"")</f>
        <v>31.82</v>
      </c>
      <c r="AC160" s="109">
        <f>IF(T160="","",IF(O160="","",O160))</f>
        <v>0</v>
      </c>
      <c r="AO160" s="105">
        <f t="shared" si="100"/>
      </c>
    </row>
    <row r="161" spans="1:41" ht="15">
      <c r="A161" s="348"/>
      <c r="B161" s="352"/>
      <c r="C161" s="354"/>
      <c r="D161" s="171">
        <f>IF(ROWS($D$160:D161)&lt;=MAX($U$137:$U$155),INDEX($D$137:$D$155,MATCH(ROWS($D$160:D161),$U$137:$U$155,0)),"")</f>
        <v>43058</v>
      </c>
      <c r="E161" s="209">
        <f aca="true" t="shared" si="120" ref="E161:G164">IF($D161&lt;&gt;"",_xlfn.IFERROR(VLOOKUP($D161,$D$143:$S$155,COLUMN(B$1),0),""),"")</f>
        <v>0.375</v>
      </c>
      <c r="F161" s="209">
        <f t="shared" si="120"/>
        <v>0.5520833333333334</v>
      </c>
      <c r="G161" s="209">
        <f t="shared" si="120"/>
        <v>0.17708333333333337</v>
      </c>
      <c r="H161" s="209">
        <f>IF($D161&lt;&gt;"",_xlfn.IFERROR(VLOOKUP($D161,$D$28:$S$40,COLUMN(E$1),0),""),"")</f>
      </c>
      <c r="I161" s="159">
        <f aca="true" t="shared" si="121" ref="I161:M164">IF($D161&lt;&gt;"",_xlfn.IFERROR(VLOOKUP($D161,$D$143:$S$155,COLUMN(F$1),0),""),"")</f>
      </c>
      <c r="J161" s="209">
        <f t="shared" si="121"/>
      </c>
      <c r="K161" s="160">
        <f t="shared" si="121"/>
      </c>
      <c r="L161" s="209">
        <f t="shared" si="121"/>
        <v>0.17708333333333337</v>
      </c>
      <c r="M161" s="160">
        <f t="shared" si="121"/>
        <v>4.250000000000001</v>
      </c>
      <c r="N161" s="283" t="str">
        <f>IF(OR(O161&lt;&gt;"",P161&lt;&gt;""),"O","")</f>
        <v>O</v>
      </c>
      <c r="O161" s="284">
        <f t="shared" si="119"/>
      </c>
      <c r="P161" s="279">
        <f t="shared" si="119"/>
        <v>4.250000000000001</v>
      </c>
      <c r="Q161" s="285"/>
      <c r="R161" s="285"/>
      <c r="S161" s="287"/>
      <c r="T161" s="31">
        <f>IF(N161="O",MAX(T$158:T160)+1,"")</f>
        <v>2</v>
      </c>
      <c r="U161" s="31">
        <f>IF(Q161="O",MAX(U$158:U160)+1,"")</f>
      </c>
      <c r="V161" s="106">
        <f>IF(W161&lt;&gt;"",VLOOKUP($B$20,'Grille IND'!$A$5:$F$653,3,FALSE),"")</f>
      </c>
      <c r="W161" s="106">
        <f>IF(T161="","",IF(OR(AO161="D",AO161="F"),"",IF(OR(AND(N161="O",Q161="",P161&lt;=14),AND(N161="O",Q161="O",P161&lt;=14)),P161,14)))</f>
      </c>
      <c r="X161" s="107">
        <f>IF(Y161&lt;&gt;"",VLOOKUP($B$20,'Grille IND'!$A$5:$F$653,4,FALSE),"")</f>
      </c>
      <c r="Y161" s="107">
        <f>IF(T161="","",IF(OR(AO161="D",AO161="F"),"",IF(OR(AND(N161="O",Q161="",P161&gt;14),AND(N161="O",Q161="O",P161&gt;14)),P161-14,"")))</f>
      </c>
      <c r="Z161" s="108">
        <f>IF(AA161&lt;&gt;"",VLOOKUP($B$20,'Grille IND'!$A$5:$F$653,5,FALSE),"")</f>
        <v>26.52</v>
      </c>
      <c r="AA161" s="108">
        <f>IF(T161="","",IF(OR(AND(OR(AO161="D",AO161="F"),N161="O",Q161=""),AND(OR(AO161="D",AO161="F"),N161="O",Q161="O")),P161,""))</f>
        <v>4.250000000000001</v>
      </c>
      <c r="AB161" s="109">
        <f>IF(AC161&lt;&gt;"",VLOOKUP($B$20,'Grille IND'!$A$5:$F$653,6,FALSE),"")</f>
      </c>
      <c r="AC161" s="109">
        <f>IF(T161="","",IF(O161="","",O161))</f>
      </c>
      <c r="AO161" s="105" t="str">
        <f t="shared" si="100"/>
        <v>D</v>
      </c>
    </row>
    <row r="162" spans="1:41" ht="15">
      <c r="A162" s="348"/>
      <c r="C162" s="354"/>
      <c r="D162" s="171">
        <f>IF(ROWS($D$160:D162)&lt;=MAX($U$137:$U$155),INDEX($D$137:$D$155,MATCH(ROWS($D$160:D162),$U$137:$U$155,0)),"")</f>
        <v>43059</v>
      </c>
      <c r="E162" s="209">
        <f t="shared" si="120"/>
        <v>0.3333333333333333</v>
      </c>
      <c r="F162" s="209">
        <f t="shared" si="120"/>
        <v>0.5069444444444444</v>
      </c>
      <c r="G162" s="209">
        <f t="shared" si="120"/>
        <v>0.1736111111111111</v>
      </c>
      <c r="H162" s="209">
        <f>IF($D162&lt;&gt;"",_xlfn.IFERROR(VLOOKUP($D162,$D$28:$S$40,COLUMN(E$1),0),""),"")</f>
      </c>
      <c r="I162" s="159">
        <f t="shared" si="121"/>
      </c>
      <c r="J162" s="209">
        <f t="shared" si="121"/>
      </c>
      <c r="K162" s="160">
        <f t="shared" si="121"/>
      </c>
      <c r="L162" s="209">
        <f t="shared" si="121"/>
        <v>0.1736111111111111</v>
      </c>
      <c r="M162" s="160">
        <f t="shared" si="121"/>
        <v>4.166666666666666</v>
      </c>
      <c r="N162" s="283" t="str">
        <f>IF(OR(O162&lt;&gt;"",P162&lt;&gt;""),"O","")</f>
        <v>O</v>
      </c>
      <c r="O162" s="284">
        <f t="shared" si="119"/>
      </c>
      <c r="P162" s="279">
        <f t="shared" si="119"/>
        <v>4.166666666666666</v>
      </c>
      <c r="Q162" s="285"/>
      <c r="R162" s="285"/>
      <c r="S162" s="287"/>
      <c r="T162" s="31">
        <f>IF(N162="O",MAX(T$158:T161)+1,"")</f>
        <v>3</v>
      </c>
      <c r="U162" s="31">
        <f>IF(Q162="O",MAX(U$158:U161)+1,"")</f>
      </c>
      <c r="V162" s="106">
        <f>IF(W162&lt;&gt;"",VLOOKUP($B$20,'Grille IND'!$A$5:$F$653,3,FALSE),"")</f>
        <v>15.91</v>
      </c>
      <c r="W162" s="106">
        <f>IF(T162="","",IF(OR(AO162="D",AO162="F"),"",IF(OR(AND(N162="O",Q162="",P162&lt;=14),AND(N162="O",Q162="O",P162&lt;=14)),P162,14)))</f>
        <v>4.166666666666666</v>
      </c>
      <c r="X162" s="107">
        <f>IF(Y162&lt;&gt;"",VLOOKUP($B$20,'Grille IND'!$A$5:$F$653,4,FALSE),"")</f>
      </c>
      <c r="Y162" s="107">
        <f>IF(T162="","",IF(OR(AO162="D",AO162="F"),"",IF(OR(AND(N162="O",Q162="",P162&gt;14),AND(N162="O",Q162="O",P162&gt;14)),P162-14,"")))</f>
      </c>
      <c r="Z162" s="108">
        <f>IF(AA162&lt;&gt;"",VLOOKUP($B$20,'Grille IND'!$A$5:$F$653,5,FALSE),"")</f>
      </c>
      <c r="AA162" s="108">
        <f>IF(T162="","",IF(OR(AND(OR(AO162="D",AO162="F"),N162="O",Q162=""),AND(OR(AO162="D",AO162="F"),N162="O",Q162="O")),P162,""))</f>
      </c>
      <c r="AB162" s="109">
        <f>IF(AC162&lt;&gt;"",VLOOKUP($B$20,'Grille IND'!$A$5:$F$653,6,FALSE),"")</f>
      </c>
      <c r="AC162" s="109">
        <f>IF(T162="","",IF(O162="","",O162))</f>
      </c>
      <c r="AO162" s="105">
        <f t="shared" si="100"/>
      </c>
    </row>
    <row r="163" spans="1:41" ht="15">
      <c r="A163" s="348"/>
      <c r="C163" s="354"/>
      <c r="D163" s="171">
        <f>IF(ROWS($D$160:D163)&lt;=MAX($U$137:$U$155),INDEX($D$137:$D$155,MATCH(ROWS($D$160:D163),$U$137:$U$155,0)),"")</f>
        <v>43060</v>
      </c>
      <c r="E163" s="209">
        <f t="shared" si="120"/>
        <v>0.7916666666666666</v>
      </c>
      <c r="F163" s="209">
        <f t="shared" si="120"/>
        <v>0.8819444444444445</v>
      </c>
      <c r="G163" s="209">
        <f t="shared" si="120"/>
        <v>0.0902777777777779</v>
      </c>
      <c r="H163" s="209">
        <f>IF($D163&lt;&gt;"",_xlfn.IFERROR(VLOOKUP($D163,$D$28:$S$40,COLUMN(E$1),0),""),"")</f>
      </c>
      <c r="I163" s="159">
        <f t="shared" si="121"/>
      </c>
      <c r="J163" s="209">
        <f t="shared" si="121"/>
      </c>
      <c r="K163" s="160">
        <f t="shared" si="121"/>
      </c>
      <c r="L163" s="209">
        <f t="shared" si="121"/>
        <v>0.0902777777777779</v>
      </c>
      <c r="M163" s="160">
        <f t="shared" si="121"/>
        <v>2.1666666666666696</v>
      </c>
      <c r="N163" s="283" t="str">
        <f>IF(OR(O163&lt;&gt;"",P163&lt;&gt;""),"O","")</f>
        <v>O</v>
      </c>
      <c r="O163" s="284">
        <f t="shared" si="119"/>
      </c>
      <c r="P163" s="279">
        <f t="shared" si="119"/>
        <v>2.1666666666666696</v>
      </c>
      <c r="Q163" s="285"/>
      <c r="R163" s="285"/>
      <c r="S163" s="287"/>
      <c r="T163" s="31">
        <f>IF(N163="O",MAX(T$158:T162)+1,"")</f>
        <v>4</v>
      </c>
      <c r="U163" s="31">
        <f>IF(Q163="O",MAX(U$158:U162)+1,"")</f>
      </c>
      <c r="V163" s="106">
        <f>IF(W163&lt;&gt;"",VLOOKUP($B$20,'Grille IND'!$A$5:$F$653,3,FALSE),"")</f>
        <v>15.91</v>
      </c>
      <c r="W163" s="106">
        <f>IF(T163="","",IF(OR(AO163="D",AO163="F"),"",IF(OR(AND(N163="O",Q163="",P163&lt;=14),AND(N163="O",Q163="O",P163&lt;=14)),P163,14)))</f>
        <v>2.1666666666666696</v>
      </c>
      <c r="X163" s="107">
        <f>IF(Y163&lt;&gt;"",VLOOKUP($B$20,'Grille IND'!$A$5:$F$653,4,FALSE),"")</f>
      </c>
      <c r="Y163" s="107">
        <f>IF(T163="","",IF(OR(AO163="D",AO163="F"),"",IF(OR(AND(N163="O",Q163="",P163&gt;14),AND(N163="O",Q163="O",P163&gt;14)),P163-14,"")))</f>
      </c>
      <c r="Z163" s="108">
        <f>IF(AA163&lt;&gt;"",VLOOKUP($B$20,'Grille IND'!$A$5:$F$653,5,FALSE),"")</f>
      </c>
      <c r="AA163" s="108">
        <f>IF(T163="","",IF(OR(AND(OR(AO163="D",AO163="F"),N163="O",Q163=""),AND(OR(AO163="D",AO163="F"),N163="O",Q163="O")),P163,""))</f>
      </c>
      <c r="AB163" s="109">
        <f>IF(AC163&lt;&gt;"",VLOOKUP($B$20,'Grille IND'!$A$5:$F$653,6,FALSE),"")</f>
      </c>
      <c r="AC163" s="109">
        <f>IF(T163="","",IF(O163="","",O163))</f>
      </c>
      <c r="AO163" s="105">
        <f t="shared" si="100"/>
      </c>
    </row>
    <row r="164" spans="1:41" ht="15">
      <c r="A164" s="348"/>
      <c r="C164" s="354"/>
      <c r="D164" s="171">
        <f>IF(ROWS($D$160:D164)&lt;=MAX($U$137:$U$155),INDEX($D$137:$D$155,MATCH(ROWS($D$160:D164),$U$137:$U$155,0)),"")</f>
      </c>
      <c r="E164" s="209">
        <f t="shared" si="120"/>
      </c>
      <c r="F164" s="209">
        <f t="shared" si="120"/>
      </c>
      <c r="G164" s="209">
        <f t="shared" si="120"/>
      </c>
      <c r="H164" s="209">
        <f>IF($D164&lt;&gt;"",_xlfn.IFERROR(VLOOKUP($D164,$D$28:$S$40,COLUMN(E$1),0),""),"")</f>
      </c>
      <c r="I164" s="159">
        <f t="shared" si="121"/>
      </c>
      <c r="J164" s="209">
        <f t="shared" si="121"/>
      </c>
      <c r="K164" s="160">
        <f t="shared" si="121"/>
      </c>
      <c r="L164" s="209">
        <f t="shared" si="121"/>
      </c>
      <c r="M164" s="160">
        <f t="shared" si="121"/>
      </c>
      <c r="N164" s="283">
        <f>IF(OR(O164&lt;&gt;"",P164&lt;&gt;""),"O","")</f>
      </c>
      <c r="O164" s="284">
        <f t="shared" si="119"/>
      </c>
      <c r="P164" s="279">
        <f t="shared" si="119"/>
      </c>
      <c r="Q164" s="285"/>
      <c r="R164" s="285"/>
      <c r="S164" s="287"/>
      <c r="T164" s="31">
        <f>IF(N164="O",MAX(T$158:T163)+1,"")</f>
      </c>
      <c r="U164" s="31">
        <f>IF(Q164="O",MAX(U$158:U163)+1,"")</f>
      </c>
      <c r="V164" s="106">
        <f>IF(W164&lt;&gt;"",VLOOKUP($B$20,'Grille IND'!$A$5:$F$653,3,FALSE),"")</f>
      </c>
      <c r="W164" s="106">
        <f>IF(T164="","",IF(OR(AO164="D",AO164="F"),"",IF(OR(AND(N164="O",Q164="",P164&lt;=14),AND(N164="O",Q164="O",P164&lt;=14)),P164,14)))</f>
      </c>
      <c r="X164" s="107">
        <f>IF(Y164&lt;&gt;"",VLOOKUP($B$20,'Grille IND'!$A$5:$F$653,4,FALSE),"")</f>
      </c>
      <c r="Y164" s="107">
        <f>IF(T164="","",IF(OR(AO164="D",AO164="F"),"",IF(OR(AND(N164="O",Q164="",P164&gt;14),AND(N164="O",Q164="O",P164&gt;14)),P164-14,"")))</f>
      </c>
      <c r="Z164" s="108">
        <f>IF(AA164&lt;&gt;"",VLOOKUP($B$20,'Grille IND'!$A$5:$F$653,5,FALSE),"")</f>
      </c>
      <c r="AA164" s="108">
        <f>IF(T164="","",IF(OR(AND(OR(AO164="D",AO164="F"),N164="O",Q164=""),AND(OR(AO164="D",AO164="F"),N164="O",Q164="O")),P164,""))</f>
      </c>
      <c r="AB164" s="109">
        <f>IF(AC164&lt;&gt;"",VLOOKUP($B$20,'Grille IND'!$A$5:$F$653,6,FALSE),"")</f>
      </c>
      <c r="AC164" s="109">
        <f>IF(T164="","",IF(O164="","",O164))</f>
      </c>
      <c r="AO164" s="105">
        <f t="shared" si="100"/>
      </c>
    </row>
    <row r="165" spans="1:41" ht="15">
      <c r="A165" s="348"/>
      <c r="C165" s="354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2"/>
      <c r="T165" s="31">
        <f>IF(N165="O",MAX(T$158:T164)+1,"")</f>
      </c>
      <c r="U165" s="31">
        <f>IF(Q165="O",MAX(U$158:U164)+1,"")</f>
      </c>
      <c r="V165" s="238"/>
      <c r="W165" s="238"/>
      <c r="X165" s="252"/>
      <c r="Y165" s="252"/>
      <c r="Z165" s="253"/>
      <c r="AA165" s="253"/>
      <c r="AB165" s="254"/>
      <c r="AC165" s="254"/>
      <c r="AO165" s="105">
        <f t="shared" si="100"/>
      </c>
    </row>
    <row r="166" spans="1:41" ht="14.25" customHeight="1">
      <c r="A166" s="348"/>
      <c r="C166" s="334" t="s">
        <v>27</v>
      </c>
      <c r="D166" s="133">
        <v>43052</v>
      </c>
      <c r="E166" s="210">
        <v>0.7152777777777778</v>
      </c>
      <c r="F166" s="213">
        <v>0.8881944444444444</v>
      </c>
      <c r="G166" s="213">
        <f aca="true" t="shared" si="122" ref="G166:G178">IF(AND(E166="",F166=""),"",MOD(F166-E166,1))</f>
        <v>0.1729166666666666</v>
      </c>
      <c r="H166" s="134">
        <f aca="true" t="shared" si="123" ref="H166:H178">IF(E166="","",IF($E166&lt;$AJ$3,$AJ$3-$E166,""))</f>
      </c>
      <c r="I166" s="134">
        <f aca="true" t="shared" si="124" ref="I166:I178">IF(F166="","",IF($F166&gt;$AK$3,$F166-$AK$3,""))</f>
      </c>
      <c r="J166" s="210">
        <f>IF(AND(H166="",I166=""),"",SUM(H166,I166))</f>
      </c>
      <c r="K166" s="135">
        <f>IF(J166="","",J166*24)</f>
      </c>
      <c r="L166" s="210">
        <f>IF(AND(E166="",F166=""),"",IF(J166&lt;&gt;"",G166-J166,G166))</f>
        <v>0.1729166666666666</v>
      </c>
      <c r="M166" s="135">
        <f>IF(L166="","",L166*24)</f>
        <v>4.149999999999999</v>
      </c>
      <c r="N166" s="271" t="str">
        <f>IF(AND(K166="",M166=""),"",IF(OR(SUM($O$160:$P$164,K$166:K166,M$166:M166)&lt;=25,AND(SUM($O$160:$P$164,K$165:K165,M$165:M165)&lt;=25,SUM($O$160:$P$164,K$166:K166,M$166:M166)&gt;25)),"O","N"))</f>
        <v>O</v>
      </c>
      <c r="O166" s="300">
        <f>IF(OR(N166="N",N166=""),"",IF(K166="","",IF((25-SUM(O$160:O165,P$160:P165))&gt;K166,K166,25-SUM(O$160:O165,P$160:P165))))</f>
      </c>
      <c r="P166" s="135">
        <f>IF(OR(N166="N",N166=""),"",IF(M166="","",IF(25-SUM($O$160:O166,$P$160:P165)&gt;M166,M166,25-SUM($O$160:O166,P$160:P165))))</f>
        <v>4.149999999999999</v>
      </c>
      <c r="Q166" s="137">
        <f aca="true" t="shared" si="125" ref="Q166:Q178">IF(AND(N166="O",SUM(O166,P166)=SUM(K166,M166)),"",IF(AND(N166="O",SUM(O166,P166)&lt;SUM(K166,M166)),"O",IF(N166="N","O","")))</f>
      </c>
      <c r="R166" s="135">
        <f aca="true" t="shared" si="126" ref="R166:R178">IF(Q166="","",IF(AND(N166="O",Q166="O"),IF(K166="","",K166-O166),IF(N166="N",IF(K166="","",K166),"")))</f>
      </c>
      <c r="S166" s="141">
        <f aca="true" t="shared" si="127" ref="S166:S177">IF(Q166="","",IF(AND(N166="O",Q166="O"),IF(M166="","",M166-P166),IF(N166="N",IF(M166="","",M166),"")))</f>
      </c>
      <c r="T166" s="31">
        <f>IF(N166="O",MAX(T$158:T165)+1,"")</f>
        <v>5</v>
      </c>
      <c r="U166" s="31">
        <f>IF(Q166="O",MAX(U$158:U165)+1,"")</f>
      </c>
      <c r="V166" s="106">
        <f>IF(W166&lt;&gt;"",VLOOKUP($B$20,'Grille IND'!$A$5:$F$653,3,FALSE),"")</f>
        <v>15.91</v>
      </c>
      <c r="W166" s="106">
        <f aca="true" t="shared" si="128" ref="W166:W178">IF(T166="","",IF(OR(AO166="D",AO166="F"),"",IF(OR(AND(N166="O",Q166="",P166&lt;=14),AND(N166="O",Q166="O",P166&lt;=14)),P166,14)))</f>
        <v>4.149999999999999</v>
      </c>
      <c r="X166" s="107">
        <f>IF(Y166&lt;&gt;"",VLOOKUP($B$20,'Grille IND'!$A$5:$F$653,4,FALSE),"")</f>
      </c>
      <c r="Y166" s="107">
        <f aca="true" t="shared" si="129" ref="Y166:Y178">IF(T166="","",IF(OR(AO166="D",AO166="F"),"",IF(OR(AND(N166="O",Q166="",P166&gt;14),AND(N166="O",Q166="O",P166&gt;14)),P166-14,"")))</f>
      </c>
      <c r="Z166" s="108">
        <f>IF(AA166&lt;&gt;"",VLOOKUP($B$20,'Grille IND'!$A$5:$F$653,5,FALSE),"")</f>
      </c>
      <c r="AA166" s="108">
        <f aca="true" t="shared" si="130" ref="AA166:AA178">IF(T166="","",IF(OR(AND(OR(AO166="D",AO166="F"),N166="O",Q166=""),AND(OR(AO166="D",AO166="F"),N166="O",Q166="O")),P166,""))</f>
      </c>
      <c r="AB166" s="109">
        <f>IF(AC166&lt;&gt;"",VLOOKUP($B$20,'Grille IND'!$A$5:$F$653,6,FALSE),"")</f>
      </c>
      <c r="AC166" s="109">
        <f aca="true" t="shared" si="131" ref="AC166:AC178">IF(T166="","",IF(O166="","",O166))</f>
      </c>
      <c r="AO166" s="105">
        <f t="shared" si="100"/>
      </c>
    </row>
    <row r="167" spans="1:41" ht="15">
      <c r="A167" s="348"/>
      <c r="C167" s="334"/>
      <c r="D167" s="133">
        <v>43057</v>
      </c>
      <c r="E167" s="210">
        <v>0.7083333333333334</v>
      </c>
      <c r="F167" s="213">
        <v>0.96875</v>
      </c>
      <c r="G167" s="213">
        <f t="shared" si="122"/>
        <v>0.26041666666666663</v>
      </c>
      <c r="H167" s="134">
        <f t="shared" si="123"/>
      </c>
      <c r="I167" s="213">
        <f t="shared" si="124"/>
        <v>0.05208333333333337</v>
      </c>
      <c r="J167" s="210">
        <f aca="true" t="shared" si="132" ref="J167:J178">IF(AND(H167="",I167=""),"",SUM(H167,I167))</f>
        <v>0.05208333333333337</v>
      </c>
      <c r="K167" s="135">
        <f aca="true" t="shared" si="133" ref="K167:K178">IF(J167="","",J167*24)</f>
        <v>1.2500000000000009</v>
      </c>
      <c r="L167" s="210">
        <f>IF(AND(E167="",F167=""),"",IF(J167&lt;&gt;"",G167-J167,G167))</f>
        <v>0.20833333333333326</v>
      </c>
      <c r="M167" s="135">
        <f>IF(L167="","",L167*24)</f>
        <v>4.999999999999998</v>
      </c>
      <c r="N167" s="271" t="str">
        <f>IF(AND(K167="",M167=""),"",IF(OR(SUM($O$160:$P$164,K$166:K167,M$166:M167)&lt;=25,AND(SUM($O$160:$P$164,K$165:K166,M$165:M166)&lt;=25,SUM($O$160:$P$164,K$166:K167,M$166:M167)&gt;25)),"O","N"))</f>
        <v>O</v>
      </c>
      <c r="O167" s="300">
        <f>IF(OR(N167="N",N167=""),"",IF(K167="","",IF((25-SUM(O$160:O166,P$160:P166))&gt;K167,K167,25-SUM(O$160:O166,P$160:P166))))</f>
        <v>1.2500000000000009</v>
      </c>
      <c r="P167" s="135">
        <f>IF(OR(N167="N",N167=""),"",IF(M167="","",IF(25-SUM($O$160:O167,$P$160:P166)&gt;M167,M167,25-SUM($O$160:O167,P$160:P166))))</f>
        <v>4.999999999999998</v>
      </c>
      <c r="Q167" s="137">
        <f t="shared" si="125"/>
      </c>
      <c r="R167" s="135">
        <f t="shared" si="126"/>
      </c>
      <c r="S167" s="141">
        <f t="shared" si="127"/>
      </c>
      <c r="T167" s="31">
        <f>IF(N167="O",MAX(T$158:T166)+1,"")</f>
        <v>6</v>
      </c>
      <c r="U167" s="31">
        <f>IF(Q167="O",MAX(U$158:U166)+1,"")</f>
      </c>
      <c r="V167" s="106">
        <f>IF(W167&lt;&gt;"",VLOOKUP($B$20,'Grille IND'!$A$5:$F$653,3,FALSE),"")</f>
        <v>15.91</v>
      </c>
      <c r="W167" s="106">
        <f t="shared" si="128"/>
        <v>4.999999999999998</v>
      </c>
      <c r="X167" s="107">
        <f>IF(Y167&lt;&gt;"",VLOOKUP($B$20,'Grille IND'!$A$5:$F$653,4,FALSE),"")</f>
      </c>
      <c r="Y167" s="107">
        <f t="shared" si="129"/>
      </c>
      <c r="Z167" s="108">
        <f>IF(AA167&lt;&gt;"",VLOOKUP($B$20,'Grille IND'!$A$5:$F$653,5,FALSE),"")</f>
      </c>
      <c r="AA167" s="108">
        <f t="shared" si="130"/>
      </c>
      <c r="AB167" s="109">
        <f>IF(AC167&lt;&gt;"",VLOOKUP($B$20,'Grille IND'!$A$5:$F$653,6,FALSE),"")</f>
        <v>31.82</v>
      </c>
      <c r="AC167" s="109">
        <f t="shared" si="131"/>
        <v>1.2500000000000009</v>
      </c>
      <c r="AO167" s="105">
        <f t="shared" si="100"/>
      </c>
    </row>
    <row r="168" spans="1:41" ht="15">
      <c r="A168" s="348"/>
      <c r="C168" s="334"/>
      <c r="D168" s="133">
        <v>43058</v>
      </c>
      <c r="E168" s="210">
        <v>0.375</v>
      </c>
      <c r="F168" s="213">
        <v>0.5520833333333334</v>
      </c>
      <c r="G168" s="213">
        <f t="shared" si="122"/>
        <v>0.17708333333333337</v>
      </c>
      <c r="H168" s="134">
        <f t="shared" si="123"/>
      </c>
      <c r="I168" s="214">
        <f t="shared" si="124"/>
      </c>
      <c r="J168" s="212">
        <f t="shared" si="132"/>
      </c>
      <c r="K168" s="138">
        <f t="shared" si="133"/>
      </c>
      <c r="L168" s="210">
        <f aca="true" t="shared" si="134" ref="L168:L178">IF(AND(E168="",F168=""),"",IF(J168&lt;&gt;"",G168-J168,G168))</f>
        <v>0.17708333333333337</v>
      </c>
      <c r="M168" s="135">
        <f>IF(L168="","",L168*24)</f>
        <v>4.250000000000001</v>
      </c>
      <c r="N168" s="271" t="str">
        <f>IF(AND(K168="",M168=""),"",IF(OR(SUM($O$160:$P$164,K$166:K168,M$166:M168)&lt;=25,AND(SUM($O$160:$P$164,K$165:K167,M$165:M167)&lt;=25,SUM($O$160:$P$164,K$166:K168,M$166:M168)&gt;25)),"O","N"))</f>
        <v>O</v>
      </c>
      <c r="O168" s="300">
        <f>IF(OR(N168="N",N168=""),"",IF(K168="","",IF((25-SUM(O$160:O167,P$160:P167))&gt;K168,K168,25-SUM(O$160:O167,P$160:P167))))</f>
      </c>
      <c r="P168" s="135">
        <f>IF(OR(N168="N",N168=""),"",IF(M168="","",IF(25-SUM($O$160:O168,$P$160:P167)&gt;M168,M168,25-SUM($O$160:O168,P$160:P167))))</f>
        <v>1.566666666666677</v>
      </c>
      <c r="Q168" s="137" t="str">
        <f t="shared" si="125"/>
        <v>O</v>
      </c>
      <c r="R168" s="135">
        <f t="shared" si="126"/>
      </c>
      <c r="S168" s="141">
        <f t="shared" si="127"/>
        <v>2.683333333333324</v>
      </c>
      <c r="T168" s="31">
        <f>IF(N168="O",MAX(T$158:T167)+1,"")</f>
        <v>7</v>
      </c>
      <c r="U168" s="31">
        <f>IF(Q168="O",MAX(U$158:U167)+1,"")</f>
        <v>1</v>
      </c>
      <c r="V168" s="106">
        <f>IF(W168&lt;&gt;"",VLOOKUP($B$20,'Grille IND'!$A$5:$F$653,3,FALSE),"")</f>
      </c>
      <c r="W168" s="106">
        <f t="shared" si="128"/>
      </c>
      <c r="X168" s="107">
        <f>IF(Y168&lt;&gt;"",VLOOKUP($B$20,'Grille IND'!$A$5:$F$653,4,FALSE),"")</f>
      </c>
      <c r="Y168" s="107">
        <f t="shared" si="129"/>
      </c>
      <c r="Z168" s="108">
        <f>IF(AA168&lt;&gt;"",VLOOKUP($B$20,'Grille IND'!$A$5:$F$653,5,FALSE),"")</f>
        <v>26.52</v>
      </c>
      <c r="AA168" s="108">
        <f t="shared" si="130"/>
        <v>1.566666666666677</v>
      </c>
      <c r="AB168" s="109">
        <f>IF(AC168&lt;&gt;"",VLOOKUP($B$20,'Grille IND'!$A$5:$F$653,6,FALSE),"")</f>
      </c>
      <c r="AC168" s="109">
        <f t="shared" si="131"/>
      </c>
      <c r="AO168" s="105" t="str">
        <f t="shared" si="100"/>
        <v>D</v>
      </c>
    </row>
    <row r="169" spans="1:41" ht="15">
      <c r="A169" s="348"/>
      <c r="C169" s="334"/>
      <c r="D169" s="133">
        <v>43065</v>
      </c>
      <c r="E169" s="210">
        <v>0.3333333333333333</v>
      </c>
      <c r="F169" s="213">
        <v>0.5069444444444444</v>
      </c>
      <c r="G169" s="213">
        <f t="shared" si="122"/>
        <v>0.1736111111111111</v>
      </c>
      <c r="H169" s="134">
        <f t="shared" si="123"/>
      </c>
      <c r="I169" s="214">
        <f t="shared" si="124"/>
      </c>
      <c r="J169" s="212">
        <f t="shared" si="132"/>
      </c>
      <c r="K169" s="138">
        <f t="shared" si="133"/>
      </c>
      <c r="L169" s="210">
        <f t="shared" si="134"/>
        <v>0.1736111111111111</v>
      </c>
      <c r="M169" s="135">
        <f aca="true" t="shared" si="135" ref="M169:M178">IF(L169="","",L169*24)</f>
        <v>4.166666666666666</v>
      </c>
      <c r="N169" s="271" t="str">
        <f>IF(AND(K169="",M169=""),"",IF(OR(SUM($O$160:$P$164,K$166:K169,M$166:M169)&lt;=25,AND(SUM($O$160:$P$164,K$165:K168,M$165:M168)&lt;=25,SUM($O$160:$P$164,K$166:K169,M$166:M169)&gt;25)),"O","N"))</f>
        <v>N</v>
      </c>
      <c r="O169" s="300">
        <f>IF(OR(N169="N",N169=""),"",IF(K169="","",IF((25-SUM(O$160:O168,P$160:P168))&gt;K169,K169,25-SUM(O$160:O168,P$160:P168))))</f>
      </c>
      <c r="P169" s="135">
        <f>IF(OR(N169="N",N169=""),"",IF(M169="","",IF(25-SUM($O$160:O169,$P$160:P168)&gt;M169,M169,25-SUM($O$160:O169,P$160:P168))))</f>
      </c>
      <c r="Q169" s="137" t="str">
        <f t="shared" si="125"/>
        <v>O</v>
      </c>
      <c r="R169" s="135">
        <f t="shared" si="126"/>
      </c>
      <c r="S169" s="141">
        <f t="shared" si="127"/>
        <v>4.166666666666666</v>
      </c>
      <c r="T169" s="31">
        <f>IF(N169="O",MAX(T$158:T168)+1,"")</f>
      </c>
      <c r="U169" s="31">
        <f>IF(Q169="O",MAX(U$158:U168)+1,"")</f>
        <v>2</v>
      </c>
      <c r="V169" s="106">
        <f>IF(W169&lt;&gt;"",VLOOKUP($B$20,'Grille IND'!$A$5:$F$653,3,FALSE),"")</f>
      </c>
      <c r="W169" s="106">
        <f t="shared" si="128"/>
      </c>
      <c r="X169" s="107">
        <f>IF(Y169&lt;&gt;"",VLOOKUP($B$20,'Grille IND'!$A$5:$F$653,4,FALSE),"")</f>
      </c>
      <c r="Y169" s="107">
        <f t="shared" si="129"/>
      </c>
      <c r="Z169" s="108">
        <f>IF(AA169&lt;&gt;"",VLOOKUP($B$20,'Grille IND'!$A$5:$F$653,5,FALSE),"")</f>
      </c>
      <c r="AA169" s="108">
        <f t="shared" si="130"/>
      </c>
      <c r="AB169" s="109">
        <f>IF(AC169&lt;&gt;"",VLOOKUP($B$20,'Grille IND'!$A$5:$F$653,6,FALSE),"")</f>
      </c>
      <c r="AC169" s="109">
        <f t="shared" si="131"/>
      </c>
      <c r="AO169" s="105" t="str">
        <f t="shared" si="100"/>
        <v>D</v>
      </c>
    </row>
    <row r="170" spans="1:41" ht="15">
      <c r="A170" s="348"/>
      <c r="C170" s="334"/>
      <c r="D170" s="133">
        <v>43060</v>
      </c>
      <c r="E170" s="210">
        <v>0.8333333333333334</v>
      </c>
      <c r="F170" s="213">
        <v>0.8819444444444445</v>
      </c>
      <c r="G170" s="213">
        <f t="shared" si="122"/>
        <v>0.04861111111111116</v>
      </c>
      <c r="H170" s="134">
        <f t="shared" si="123"/>
      </c>
      <c r="I170" s="213">
        <f t="shared" si="124"/>
      </c>
      <c r="J170" s="210">
        <f t="shared" si="132"/>
      </c>
      <c r="K170" s="135">
        <f t="shared" si="133"/>
      </c>
      <c r="L170" s="210">
        <f t="shared" si="134"/>
        <v>0.04861111111111116</v>
      </c>
      <c r="M170" s="135">
        <f t="shared" si="135"/>
        <v>1.1666666666666679</v>
      </c>
      <c r="N170" s="271" t="str">
        <f>IF(AND(K170="",M170=""),"",IF(OR(SUM($O$160:$P$164,K$166:K170,M$166:M170)&lt;=25,AND(SUM($O$160:$P$164,K$165:K169,M$165:M169)&lt;=25,SUM($O$160:$P$164,K$166:K170,M$166:M170)&gt;25)),"O","N"))</f>
        <v>N</v>
      </c>
      <c r="O170" s="300">
        <f>IF(OR(N170="N",N170=""),"",IF(K170="","",IF((25-SUM(O$160:O169,P$160:P169))&gt;K170,K170,25-SUM(O$160:O169,P$160:P169))))</f>
      </c>
      <c r="P170" s="135">
        <f>IF(OR(N170="N",N170=""),"",IF(M170="","",IF(25-SUM($O$160:O170,$P$160:P169)&gt;M170,M170,25-SUM($O$160:O170,P$160:P169))))</f>
      </c>
      <c r="Q170" s="137" t="str">
        <f t="shared" si="125"/>
        <v>O</v>
      </c>
      <c r="R170" s="135">
        <f t="shared" si="126"/>
      </c>
      <c r="S170" s="141">
        <f t="shared" si="127"/>
        <v>1.1666666666666679</v>
      </c>
      <c r="T170" s="31">
        <f>IF(N170="O",MAX(T$158:T169)+1,"")</f>
      </c>
      <c r="U170" s="31">
        <f>IF(Q170="O",MAX(U$158:U169)+1,"")</f>
        <v>3</v>
      </c>
      <c r="V170" s="106">
        <f>IF(W170&lt;&gt;"",VLOOKUP($B$20,'Grille IND'!$A$5:$F$653,3,FALSE),"")</f>
      </c>
      <c r="W170" s="106">
        <f t="shared" si="128"/>
      </c>
      <c r="X170" s="107">
        <f>IF(Y170&lt;&gt;"",VLOOKUP($B$20,'Grille IND'!$A$5:$F$653,4,FALSE),"")</f>
      </c>
      <c r="Y170" s="107">
        <f t="shared" si="129"/>
      </c>
      <c r="Z170" s="108">
        <f>IF(AA170&lt;&gt;"",VLOOKUP($B$20,'Grille IND'!$A$5:$F$653,5,FALSE),"")</f>
      </c>
      <c r="AA170" s="108">
        <f t="shared" si="130"/>
      </c>
      <c r="AB170" s="109">
        <f>IF(AC170&lt;&gt;"",VLOOKUP($B$20,'Grille IND'!$A$5:$F$653,6,FALSE),"")</f>
      </c>
      <c r="AC170" s="109">
        <f t="shared" si="131"/>
      </c>
      <c r="AO170" s="105">
        <f t="shared" si="100"/>
      </c>
    </row>
    <row r="171" spans="1:41" ht="15">
      <c r="A171" s="348"/>
      <c r="C171" s="334"/>
      <c r="D171" s="133">
        <v>43061</v>
      </c>
      <c r="E171" s="210">
        <v>0.875</v>
      </c>
      <c r="F171" s="213">
        <v>0.9270833333333334</v>
      </c>
      <c r="G171" s="213">
        <f t="shared" si="122"/>
        <v>0.05208333333333337</v>
      </c>
      <c r="H171" s="134">
        <f t="shared" si="123"/>
      </c>
      <c r="I171" s="213">
        <f t="shared" si="124"/>
        <v>0.01041666666666674</v>
      </c>
      <c r="J171" s="210">
        <f t="shared" si="132"/>
        <v>0.01041666666666674</v>
      </c>
      <c r="K171" s="135">
        <f t="shared" si="133"/>
        <v>0.2500000000000018</v>
      </c>
      <c r="L171" s="210">
        <f t="shared" si="134"/>
        <v>0.04166666666666663</v>
      </c>
      <c r="M171" s="135">
        <f t="shared" si="135"/>
        <v>0.9999999999999991</v>
      </c>
      <c r="N171" s="271" t="str">
        <f>IF(AND(K171="",M171=""),"",IF(OR(SUM($O$160:$P$164,K$166:K171,M$166:M171)&lt;=25,AND(SUM($O$160:$P$164,K$165:K170,M$165:M170)&lt;=25,SUM($O$160:$P$164,K$166:K171,M$166:M171)&gt;25)),"O","N"))</f>
        <v>N</v>
      </c>
      <c r="O171" s="300">
        <f>IF(OR(N171="N",N171=""),"",IF(K171="","",IF((25-SUM(O$160:O170,P$160:P170))&gt;K171,K171,25-SUM(O$160:O170,P$160:P170))))</f>
      </c>
      <c r="P171" s="135">
        <f>IF(OR(N171="N",N171=""),"",IF(M171="","",IF(25-SUM($O$160:O171,$P$160:P170)&gt;M171,M171,25-SUM($O$160:O171,P$160:P170))))</f>
      </c>
      <c r="Q171" s="137" t="str">
        <f t="shared" si="125"/>
        <v>O</v>
      </c>
      <c r="R171" s="135">
        <f t="shared" si="126"/>
        <v>0.2500000000000018</v>
      </c>
      <c r="S171" s="141">
        <f t="shared" si="127"/>
        <v>0.9999999999999991</v>
      </c>
      <c r="T171" s="31">
        <f>IF(N171="O",MAX(T$158:T170)+1,"")</f>
      </c>
      <c r="U171" s="31">
        <f>IF(Q171="O",MAX(U$158:U170)+1,"")</f>
        <v>4</v>
      </c>
      <c r="V171" s="106">
        <f>IF(W171&lt;&gt;"",VLOOKUP($B$20,'Grille IND'!$A$5:$F$653,3,FALSE),"")</f>
      </c>
      <c r="W171" s="106">
        <f t="shared" si="128"/>
      </c>
      <c r="X171" s="107">
        <f>IF(Y171&lt;&gt;"",VLOOKUP($B$20,'Grille IND'!$A$5:$F$653,4,FALSE),"")</f>
      </c>
      <c r="Y171" s="107">
        <f t="shared" si="129"/>
      </c>
      <c r="Z171" s="108">
        <f>IF(AA171&lt;&gt;"",VLOOKUP($B$20,'Grille IND'!$A$5:$F$653,5,FALSE),"")</f>
      </c>
      <c r="AA171" s="108">
        <f t="shared" si="130"/>
      </c>
      <c r="AB171" s="109">
        <f>IF(AC171&lt;&gt;"",VLOOKUP($B$20,'Grille IND'!$A$5:$F$653,6,FALSE),"")</f>
      </c>
      <c r="AC171" s="109">
        <f t="shared" si="131"/>
      </c>
      <c r="AO171" s="105">
        <f t="shared" si="100"/>
      </c>
    </row>
    <row r="172" spans="1:41" ht="15">
      <c r="A172" s="348"/>
      <c r="C172" s="334"/>
      <c r="D172" s="133"/>
      <c r="E172" s="210"/>
      <c r="F172" s="213"/>
      <c r="G172" s="213">
        <f t="shared" si="122"/>
      </c>
      <c r="H172" s="213">
        <f t="shared" si="123"/>
      </c>
      <c r="I172" s="213">
        <f t="shared" si="124"/>
      </c>
      <c r="J172" s="210">
        <f t="shared" si="132"/>
      </c>
      <c r="K172" s="135">
        <f t="shared" si="133"/>
      </c>
      <c r="L172" s="210">
        <f t="shared" si="134"/>
      </c>
      <c r="M172" s="135">
        <f t="shared" si="135"/>
      </c>
      <c r="N172" s="271">
        <f>IF(AND(K172="",M172=""),"",IF(OR(SUM($O$160:$P$164,K$166:K172,M$166:M172)&lt;=25,AND(SUM($O$160:$P$164,K$165:K171,M$165:M171)&lt;=25,SUM($O$160:$P$164,K$166:K172,M$166:M172)&gt;25)),"O","N"))</f>
      </c>
      <c r="O172" s="300">
        <f>IF(OR(N172="N",N172=""),"",IF(K172="","",IF((25-SUM(O$160:O171,P$160:P171))&gt;K172,K172,25-SUM(O$160:O171,P$160:P171))))</f>
      </c>
      <c r="P172" s="135">
        <f>IF(OR(N172="N",N172=""),"",IF(M172="","",IF(25-SUM($O$160:O172,$P$160:P171)&gt;M172,M172,25-SUM($O$160:O172,P$160:P171))))</f>
      </c>
      <c r="Q172" s="137">
        <f t="shared" si="125"/>
      </c>
      <c r="R172" s="135">
        <f t="shared" si="126"/>
      </c>
      <c r="S172" s="141">
        <f t="shared" si="127"/>
      </c>
      <c r="T172" s="31">
        <f>IF(N172="O",MAX(T$158:T171)+1,"")</f>
      </c>
      <c r="U172" s="31">
        <f>IF(Q172="O",MAX(U$158:U171)+1,"")</f>
      </c>
      <c r="V172" s="106">
        <f>IF(W172&lt;&gt;"",VLOOKUP($B$20,'Grille IND'!$A$5:$F$653,3,FALSE),"")</f>
      </c>
      <c r="W172" s="106">
        <f t="shared" si="128"/>
      </c>
      <c r="X172" s="107">
        <f>IF(Y172&lt;&gt;"",VLOOKUP($B$20,'Grille IND'!$A$5:$F$653,4,FALSE),"")</f>
      </c>
      <c r="Y172" s="107">
        <f t="shared" si="129"/>
      </c>
      <c r="Z172" s="108">
        <f>IF(AA172&lt;&gt;"",VLOOKUP($B$20,'Grille IND'!$A$5:$F$653,5,FALSE),"")</f>
      </c>
      <c r="AA172" s="108">
        <f t="shared" si="130"/>
      </c>
      <c r="AB172" s="109">
        <f>IF(AC172&lt;&gt;"",VLOOKUP($B$20,'Grille IND'!$A$5:$F$653,6,FALSE),"")</f>
      </c>
      <c r="AC172" s="109">
        <f t="shared" si="131"/>
      </c>
      <c r="AO172" s="105">
        <f t="shared" si="100"/>
      </c>
    </row>
    <row r="173" spans="1:41" ht="15">
      <c r="A173" s="348"/>
      <c r="C173" s="334"/>
      <c r="D173" s="133"/>
      <c r="E173" s="210"/>
      <c r="F173" s="213"/>
      <c r="G173" s="213">
        <f t="shared" si="122"/>
      </c>
      <c r="H173" s="213">
        <f t="shared" si="123"/>
      </c>
      <c r="I173" s="213">
        <f t="shared" si="124"/>
      </c>
      <c r="J173" s="210">
        <f t="shared" si="132"/>
      </c>
      <c r="K173" s="135">
        <f t="shared" si="133"/>
      </c>
      <c r="L173" s="210">
        <f t="shared" si="134"/>
      </c>
      <c r="M173" s="135">
        <f t="shared" si="135"/>
      </c>
      <c r="N173" s="271">
        <f>IF(AND(K173="",M173=""),"",IF(OR(SUM($O$160:$P$164,K$166:K173,M$166:M173)&lt;=25,AND(SUM($O$160:$P$164,K$165:K172,M$165:M172)&lt;=25,SUM($O$160:$P$164,K$166:K173,M$166:M173)&gt;25)),"O","N"))</f>
      </c>
      <c r="O173" s="300">
        <f>IF(OR(N173="N",N173=""),"",IF(K173="","",IF((25-SUM(O$160:O172,P$160:P172))&gt;K173,K173,25-SUM(O$160:O172,P$160:P172))))</f>
      </c>
      <c r="P173" s="135">
        <f>IF(OR(N173="N",N173=""),"",IF(M173="","",IF(25-SUM($O$160:O173,$P$160:P172)&gt;M173,M173,25-SUM($O$160:O173,P$160:P172))))</f>
      </c>
      <c r="Q173" s="137">
        <f t="shared" si="125"/>
      </c>
      <c r="R173" s="135">
        <f t="shared" si="126"/>
      </c>
      <c r="S173" s="141">
        <f t="shared" si="127"/>
      </c>
      <c r="T173" s="31">
        <f>IF(N173="O",MAX(T$158:T172)+1,"")</f>
      </c>
      <c r="U173" s="31">
        <f>IF(Q173="O",MAX(U$158:U172)+1,"")</f>
      </c>
      <c r="V173" s="106">
        <f>IF(W173&lt;&gt;"",VLOOKUP($B$20,'Grille IND'!$A$5:$F$653,3,FALSE),"")</f>
      </c>
      <c r="W173" s="106">
        <f t="shared" si="128"/>
      </c>
      <c r="X173" s="107">
        <f>IF(Y173&lt;&gt;"",VLOOKUP($B$20,'Grille IND'!$A$5:$F$653,4,FALSE),"")</f>
      </c>
      <c r="Y173" s="107">
        <f t="shared" si="129"/>
      </c>
      <c r="Z173" s="108">
        <f>IF(AA173&lt;&gt;"",VLOOKUP($B$20,'Grille IND'!$A$5:$F$653,5,FALSE),"")</f>
      </c>
      <c r="AA173" s="108">
        <f t="shared" si="130"/>
      </c>
      <c r="AB173" s="109">
        <f>IF(AC173&lt;&gt;"",VLOOKUP($B$20,'Grille IND'!$A$5:$F$653,6,FALSE),"")</f>
      </c>
      <c r="AC173" s="109">
        <f t="shared" si="131"/>
      </c>
      <c r="AO173" s="105">
        <f t="shared" si="100"/>
      </c>
    </row>
    <row r="174" spans="1:41" ht="15">
      <c r="A174" s="348"/>
      <c r="C174" s="334"/>
      <c r="D174" s="133"/>
      <c r="E174" s="210"/>
      <c r="F174" s="213"/>
      <c r="G174" s="213">
        <f t="shared" si="122"/>
      </c>
      <c r="H174" s="213">
        <f t="shared" si="123"/>
      </c>
      <c r="I174" s="213">
        <f t="shared" si="124"/>
      </c>
      <c r="J174" s="210">
        <f t="shared" si="132"/>
      </c>
      <c r="K174" s="135">
        <f t="shared" si="133"/>
      </c>
      <c r="L174" s="210">
        <f t="shared" si="134"/>
      </c>
      <c r="M174" s="135">
        <f t="shared" si="135"/>
      </c>
      <c r="N174" s="271">
        <f>IF(AND(K174="",M174=""),"",IF(OR(SUM($O$160:$P$164,K$166:K174,M$166:M174)&lt;=25,AND(SUM($O$160:$P$164,K$165:K173,M$165:M173)&lt;=25,SUM($O$160:$P$164,K$166:K174,M$166:M174)&gt;25)),"O","N"))</f>
      </c>
      <c r="O174" s="300">
        <f>IF(OR(N174="N",N174=""),"",IF(K174="","",IF((25-SUM(O$160:O173,P$160:P173))&gt;K174,K174,25-SUM(O$160:O173,P$160:P173))))</f>
      </c>
      <c r="P174" s="135">
        <f>IF(OR(N174="N",N174=""),"",IF(M174="","",IF(25-SUM($O$160:O174,$P$160:P173)&gt;M174,M174,25-SUM($O$160:O174,P$160:P173))))</f>
      </c>
      <c r="Q174" s="137">
        <f t="shared" si="125"/>
      </c>
      <c r="R174" s="135">
        <f t="shared" si="126"/>
      </c>
      <c r="S174" s="141">
        <f t="shared" si="127"/>
      </c>
      <c r="T174" s="31">
        <f>IF(N174="O",MAX(T$158:T173)+1,"")</f>
      </c>
      <c r="U174" s="31">
        <f>IF(Q174="O",MAX(U$158:U173)+1,"")</f>
      </c>
      <c r="V174" s="106">
        <f>IF(W174&lt;&gt;"",VLOOKUP($B$20,'Grille IND'!$A$5:$F$653,3,FALSE),"")</f>
      </c>
      <c r="W174" s="106">
        <f t="shared" si="128"/>
      </c>
      <c r="X174" s="107">
        <f>IF(Y174&lt;&gt;"",VLOOKUP($B$20,'Grille IND'!$A$5:$F$653,4,FALSE),"")</f>
      </c>
      <c r="Y174" s="107">
        <f t="shared" si="129"/>
      </c>
      <c r="Z174" s="108">
        <f>IF(AA174&lt;&gt;"",VLOOKUP($B$20,'Grille IND'!$A$5:$F$653,5,FALSE),"")</f>
      </c>
      <c r="AA174" s="108">
        <f t="shared" si="130"/>
      </c>
      <c r="AB174" s="109">
        <f>IF(AC174&lt;&gt;"",VLOOKUP($B$20,'Grille IND'!$A$5:$F$653,6,FALSE),"")</f>
      </c>
      <c r="AC174" s="109">
        <f t="shared" si="131"/>
      </c>
      <c r="AO174" s="105">
        <f t="shared" si="100"/>
      </c>
    </row>
    <row r="175" spans="1:41" ht="15">
      <c r="A175" s="348"/>
      <c r="C175" s="334"/>
      <c r="D175" s="133"/>
      <c r="E175" s="210"/>
      <c r="F175" s="213"/>
      <c r="G175" s="213">
        <f t="shared" si="122"/>
      </c>
      <c r="H175" s="213">
        <f t="shared" si="123"/>
      </c>
      <c r="I175" s="213">
        <f t="shared" si="124"/>
      </c>
      <c r="J175" s="210">
        <f t="shared" si="132"/>
      </c>
      <c r="K175" s="135">
        <f t="shared" si="133"/>
      </c>
      <c r="L175" s="210">
        <f t="shared" si="134"/>
      </c>
      <c r="M175" s="135">
        <f t="shared" si="135"/>
      </c>
      <c r="N175" s="271">
        <f>IF(AND(K175="",M175=""),"",IF(OR(SUM($O$160:$P$164,K$166:K175,M$166:M175)&lt;=25,AND(SUM($O$160:$P$164,K$165:K174,M$165:M174)&lt;=25,SUM($O$160:$P$164,K$166:K175,M$166:M175)&gt;25)),"O","N"))</f>
      </c>
      <c r="O175" s="300">
        <f>IF(OR(N175="N",N175=""),"",IF(K175="","",IF((25-SUM(O$160:O174,P$160:P174))&gt;K175,K175,25-SUM(O$160:O174,P$160:P174))))</f>
      </c>
      <c r="P175" s="135">
        <f>IF(OR(N175="N",N175=""),"",IF(M175="","",IF(25-SUM($O$160:O175,$P$160:P174)&gt;M175,M175,25-SUM($O$160:O175,P$160:P174))))</f>
      </c>
      <c r="Q175" s="137">
        <f t="shared" si="125"/>
      </c>
      <c r="R175" s="135">
        <f t="shared" si="126"/>
      </c>
      <c r="S175" s="141">
        <f t="shared" si="127"/>
      </c>
      <c r="T175" s="31">
        <f>IF(N175="O",MAX(T$158:T174)+1,"")</f>
      </c>
      <c r="U175" s="31">
        <f>IF(Q175="O",MAX(U$158:U174)+1,"")</f>
      </c>
      <c r="V175" s="106">
        <f>IF(W175&lt;&gt;"",VLOOKUP($B$20,'Grille IND'!$A$5:$F$653,3,FALSE),"")</f>
      </c>
      <c r="W175" s="106">
        <f t="shared" si="128"/>
      </c>
      <c r="X175" s="107">
        <f>IF(Y175&lt;&gt;"",VLOOKUP($B$20,'Grille IND'!$A$5:$F$653,4,FALSE),"")</f>
      </c>
      <c r="Y175" s="107">
        <f t="shared" si="129"/>
      </c>
      <c r="Z175" s="108">
        <f>IF(AA175&lt;&gt;"",VLOOKUP($B$20,'Grille IND'!$A$5:$F$653,5,FALSE),"")</f>
      </c>
      <c r="AA175" s="108">
        <f t="shared" si="130"/>
      </c>
      <c r="AB175" s="109">
        <f>IF(AC175&lt;&gt;"",VLOOKUP($B$20,'Grille IND'!$A$5:$F$653,6,FALSE),"")</f>
      </c>
      <c r="AC175" s="109">
        <f t="shared" si="131"/>
      </c>
      <c r="AO175" s="105">
        <f t="shared" si="100"/>
      </c>
    </row>
    <row r="176" spans="1:41" ht="15">
      <c r="A176" s="348"/>
      <c r="C176" s="334"/>
      <c r="D176" s="133"/>
      <c r="E176" s="210"/>
      <c r="F176" s="213"/>
      <c r="G176" s="213">
        <f t="shared" si="122"/>
      </c>
      <c r="H176" s="213">
        <f t="shared" si="123"/>
      </c>
      <c r="I176" s="213">
        <f t="shared" si="124"/>
      </c>
      <c r="J176" s="210">
        <f t="shared" si="132"/>
      </c>
      <c r="K176" s="135">
        <f t="shared" si="133"/>
      </c>
      <c r="L176" s="210">
        <f t="shared" si="134"/>
      </c>
      <c r="M176" s="135">
        <f t="shared" si="135"/>
      </c>
      <c r="N176" s="271">
        <f>IF(AND(K176="",M176=""),"",IF(OR(SUM($O$160:$P$164,K$166:K176,M$166:M176)&lt;=25,AND(SUM($O$160:$P$164,K$165:K175,M$165:M175)&lt;=25,SUM($O$160:$P$164,K$166:K176,M$166:M176)&gt;25)),"O","N"))</f>
      </c>
      <c r="O176" s="300">
        <f>IF(OR(N176="N",N176=""),"",IF(K176="","",IF((25-SUM(O$160:O175,P$160:P175))&gt;K176,K176,25-SUM(O$160:O175,P$160:P175))))</f>
      </c>
      <c r="P176" s="135">
        <f>IF(OR(N176="N",N176=""),"",IF(M176="","",IF(25-SUM($O$160:O176,$P$160:P175)&gt;M176,M176,25-SUM($O$160:O176,P$160:P175))))</f>
      </c>
      <c r="Q176" s="137">
        <f t="shared" si="125"/>
      </c>
      <c r="R176" s="135">
        <f t="shared" si="126"/>
      </c>
      <c r="S176" s="141">
        <f t="shared" si="127"/>
      </c>
      <c r="T176" s="31">
        <f>IF(N176="O",MAX(T$158:T175)+1,"")</f>
      </c>
      <c r="U176" s="31">
        <f>IF(Q176="O",MAX(U$158:U175)+1,"")</f>
      </c>
      <c r="V176" s="106">
        <f>IF(W176&lt;&gt;"",VLOOKUP($B$20,'Grille IND'!$A$5:$F$653,3,FALSE),"")</f>
      </c>
      <c r="W176" s="106">
        <f t="shared" si="128"/>
      </c>
      <c r="X176" s="107">
        <f>IF(Y176&lt;&gt;"",VLOOKUP($B$20,'Grille IND'!$A$5:$F$653,4,FALSE),"")</f>
      </c>
      <c r="Y176" s="107">
        <f t="shared" si="129"/>
      </c>
      <c r="Z176" s="108">
        <f>IF(AA176&lt;&gt;"",VLOOKUP($B$20,'Grille IND'!$A$5:$F$653,5,FALSE),"")</f>
      </c>
      <c r="AA176" s="108">
        <f t="shared" si="130"/>
      </c>
      <c r="AB176" s="109">
        <f>IF(AC176&lt;&gt;"",VLOOKUP($B$20,'Grille IND'!$A$5:$F$653,6,FALSE),"")</f>
      </c>
      <c r="AC176" s="109">
        <f t="shared" si="131"/>
      </c>
      <c r="AO176" s="105">
        <f t="shared" si="100"/>
      </c>
    </row>
    <row r="177" spans="1:41" ht="15">
      <c r="A177" s="348"/>
      <c r="C177" s="334"/>
      <c r="D177" s="133"/>
      <c r="E177" s="210"/>
      <c r="F177" s="213"/>
      <c r="G177" s="213">
        <f t="shared" si="122"/>
      </c>
      <c r="H177" s="213">
        <f t="shared" si="123"/>
      </c>
      <c r="I177" s="213">
        <f t="shared" si="124"/>
      </c>
      <c r="J177" s="210">
        <f t="shared" si="132"/>
      </c>
      <c r="K177" s="135">
        <f t="shared" si="133"/>
      </c>
      <c r="L177" s="210">
        <f t="shared" si="134"/>
      </c>
      <c r="M177" s="135">
        <f t="shared" si="135"/>
      </c>
      <c r="N177" s="271">
        <f>IF(AND(K177="",M177=""),"",IF(OR(SUM($O$160:$P$164,K$166:K177,M$166:M177)&lt;=25,AND(SUM($O$160:$P$164,K$165:K176,M$165:M176)&lt;=25,SUM($O$160:$P$164,K$166:K177,M$166:M177)&gt;25)),"O","N"))</f>
      </c>
      <c r="O177" s="300">
        <f>IF(OR(N177="N",N177=""),"",IF(K177="","",IF((25-SUM(O$160:O176,P$160:P176))&gt;K177,K177,25-SUM(O$160:O176,P$160:P176))))</f>
      </c>
      <c r="P177" s="135">
        <f>IF(OR(N177="N",N177=""),"",IF(M177="","",IF(25-SUM($O$160:O177,$P$160:P176)&gt;M177,M177,25-SUM($O$160:O177,P$160:P176))))</f>
      </c>
      <c r="Q177" s="137">
        <f t="shared" si="125"/>
      </c>
      <c r="R177" s="135">
        <f t="shared" si="126"/>
      </c>
      <c r="S177" s="141">
        <f t="shared" si="127"/>
      </c>
      <c r="T177" s="31">
        <f>IF(N177="O",MAX(T$158:T176)+1,"")</f>
      </c>
      <c r="U177" s="31">
        <f>IF(Q177="O",MAX(U$158:U176)+1,"")</f>
      </c>
      <c r="V177" s="106">
        <f>IF(W177&lt;&gt;"",VLOOKUP($B$20,'Grille IND'!$A$5:$F$653,3,FALSE),"")</f>
      </c>
      <c r="W177" s="106">
        <f t="shared" si="128"/>
      </c>
      <c r="X177" s="107">
        <f>IF(Y177&lt;&gt;"",VLOOKUP($B$20,'Grille IND'!$A$5:$F$653,4,FALSE),"")</f>
      </c>
      <c r="Y177" s="107">
        <f t="shared" si="129"/>
      </c>
      <c r="Z177" s="108">
        <f>IF(AA177&lt;&gt;"",VLOOKUP($B$20,'Grille IND'!$A$5:$F$653,5,FALSE),"")</f>
      </c>
      <c r="AA177" s="108">
        <f t="shared" si="130"/>
      </c>
      <c r="AB177" s="109">
        <f>IF(AC177&lt;&gt;"",VLOOKUP($B$20,'Grille IND'!$A$5:$F$653,6,FALSE),"")</f>
      </c>
      <c r="AC177" s="109">
        <f t="shared" si="131"/>
      </c>
      <c r="AO177" s="105">
        <f t="shared" si="100"/>
      </c>
    </row>
    <row r="178" spans="1:41" ht="15">
      <c r="A178" s="348"/>
      <c r="C178" s="334"/>
      <c r="D178" s="133"/>
      <c r="E178" s="210"/>
      <c r="F178" s="213"/>
      <c r="G178" s="213">
        <f t="shared" si="122"/>
      </c>
      <c r="H178" s="213">
        <f t="shared" si="123"/>
      </c>
      <c r="I178" s="213">
        <f t="shared" si="124"/>
      </c>
      <c r="J178" s="210">
        <f t="shared" si="132"/>
      </c>
      <c r="K178" s="135">
        <f t="shared" si="133"/>
      </c>
      <c r="L178" s="210">
        <f t="shared" si="134"/>
      </c>
      <c r="M178" s="135">
        <f t="shared" si="135"/>
      </c>
      <c r="N178" s="271">
        <f>IF(AND(K178="",M178=""),"",IF(OR(SUM($O$160:$P$164,K$166:K178,M$166:M178)&lt;=25,AND(SUM($O$160:$P$164,K$165:K177,M$165:M177)&lt;=25,SUM($O$160:$P$164,K$166:K178,M$166:M178)&gt;25)),"O","N"))</f>
      </c>
      <c r="O178" s="300">
        <f>IF(OR(N178="N",N178=""),"",IF(K178="","",IF((25-SUM(O$160:O177,P$160:P177))&gt;K178,K178,25-SUM(O$160:O177,P$160:P177))))</f>
      </c>
      <c r="P178" s="135">
        <f>IF(OR(N178="N",N178=""),"",IF(M178="","",IF(25-SUM($O$160:O178,$P$160:P177)&gt;M178,M178,25-SUM($O$160:O178,P$160:P177))))</f>
      </c>
      <c r="Q178" s="137">
        <f t="shared" si="125"/>
      </c>
      <c r="R178" s="135">
        <f t="shared" si="126"/>
      </c>
      <c r="S178" s="141">
        <f>IF(Q178="","",IF(AND(N178="O",Q178="O"),IF(M178="","",M178-P178),IF(N178="N",IF(M178="","",M178),"")))</f>
      </c>
      <c r="T178" s="31">
        <f>IF(N178="O",MAX(T$158:T177)+1,"")</f>
      </c>
      <c r="U178" s="31">
        <f>IF(Q178="O",MAX(U$158:U177)+1,"")</f>
      </c>
      <c r="V178" s="106">
        <f>IF(W178&lt;&gt;"",VLOOKUP($B$20,'Grille IND'!$A$5:$F$653,3,FALSE),"")</f>
      </c>
      <c r="W178" s="106">
        <f t="shared" si="128"/>
      </c>
      <c r="X178" s="107">
        <f>IF(Y178&lt;&gt;"",VLOOKUP($B$20,'Grille IND'!$A$5:$F$653,4,FALSE),"")</f>
      </c>
      <c r="Y178" s="107">
        <f t="shared" si="129"/>
      </c>
      <c r="Z178" s="108">
        <f>IF(AA178&lt;&gt;"",VLOOKUP($B$20,'Grille IND'!$A$5:$F$653,5,FALSE),"")</f>
      </c>
      <c r="AA178" s="108">
        <f t="shared" si="130"/>
      </c>
      <c r="AB178" s="109">
        <f>IF(AC178&lt;&gt;"",VLOOKUP($B$20,'Grille IND'!$A$5:$F$653,6,FALSE),"")</f>
      </c>
      <c r="AC178" s="109">
        <f t="shared" si="131"/>
      </c>
      <c r="AO178" s="105">
        <f t="shared" si="100"/>
      </c>
    </row>
    <row r="179" spans="1:41" ht="18" thickBot="1">
      <c r="A179" s="349"/>
      <c r="C179" s="353"/>
      <c r="D179" s="164"/>
      <c r="E179" s="208"/>
      <c r="F179" s="230"/>
      <c r="G179" s="230"/>
      <c r="H179" s="335" t="s">
        <v>29</v>
      </c>
      <c r="I179" s="335"/>
      <c r="J179" s="208">
        <f>SUM(J166:J175)</f>
        <v>0.06250000000000011</v>
      </c>
      <c r="K179" s="163">
        <f>SUM(K166:K175)</f>
        <v>1.5000000000000027</v>
      </c>
      <c r="L179" s="208">
        <f>SUM(L166:L175)</f>
        <v>0.8222222222222221</v>
      </c>
      <c r="M179" s="163">
        <f>SUM(M160:M178)</f>
        <v>35.31666666666666</v>
      </c>
      <c r="N179" s="170"/>
      <c r="O179" s="336">
        <f>SUM(O164:P178)</f>
        <v>11.966666666666676</v>
      </c>
      <c r="P179" s="336"/>
      <c r="Q179" s="177"/>
      <c r="R179" s="257">
        <f>SUM(R164:R178)</f>
        <v>0.2500000000000018</v>
      </c>
      <c r="S179" s="257">
        <f>SUM(S164:S178)</f>
        <v>9.016666666666659</v>
      </c>
      <c r="V179" s="239"/>
      <c r="W179" s="239">
        <f>SUM(W160:W178)</f>
        <v>17.933333333333323</v>
      </c>
      <c r="X179" s="240"/>
      <c r="Y179" s="240">
        <f>SUM(Y160:Y178)</f>
        <v>0</v>
      </c>
      <c r="Z179" s="241"/>
      <c r="AA179" s="241">
        <f>SUM(AA160:AA178)</f>
        <v>5.816666666666678</v>
      </c>
      <c r="AB179" s="242"/>
      <c r="AC179" s="242">
        <f>SUM(AC160:AC178)</f>
        <v>1.2500000000000009</v>
      </c>
      <c r="AO179" s="105">
        <f t="shared" si="100"/>
      </c>
    </row>
    <row r="180" spans="1:41" ht="19.5" customHeight="1" thickBot="1">
      <c r="A180" s="179"/>
      <c r="B180" s="180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6"/>
      <c r="V180" s="239"/>
      <c r="W180" s="239">
        <f>SUMPRODUCT(V160:V178,W160:W178)</f>
        <v>285.31933333333313</v>
      </c>
      <c r="X180" s="240"/>
      <c r="Y180" s="240">
        <f>SUMPRODUCT(X160:X178,Y160:Y178)</f>
        <v>0</v>
      </c>
      <c r="Z180" s="241"/>
      <c r="AA180" s="241">
        <f>SUMPRODUCT(Z160:Z178,AA160:AA178)</f>
        <v>154.2580000000003</v>
      </c>
      <c r="AB180" s="242"/>
      <c r="AC180" s="242">
        <f>SUMPRODUCT(AB160:AB178,AC160:AC178)</f>
        <v>39.77500000000003</v>
      </c>
      <c r="AO180" s="105">
        <f t="shared" si="100"/>
      </c>
    </row>
    <row r="181" spans="1:41" ht="14.25" customHeight="1">
      <c r="A181" s="347" t="s">
        <v>167</v>
      </c>
      <c r="B181" s="181">
        <f>VLOOKUP($B$1,INFOS!A:AU,39,FALSE)</f>
        <v>457</v>
      </c>
      <c r="C181" s="338" t="s">
        <v>31</v>
      </c>
      <c r="D181" s="404" t="s">
        <v>170</v>
      </c>
      <c r="E181" s="400"/>
      <c r="F181" s="400"/>
      <c r="G181" s="400"/>
      <c r="H181" s="400"/>
      <c r="I181" s="400"/>
      <c r="J181" s="400"/>
      <c r="K181" s="400"/>
      <c r="L181" s="400"/>
      <c r="M181" s="401"/>
      <c r="N181" s="339" t="s">
        <v>32</v>
      </c>
      <c r="O181" s="340"/>
      <c r="P181" s="340"/>
      <c r="Q181" s="341"/>
      <c r="R181" s="345">
        <f>R179</f>
        <v>0.2500000000000018</v>
      </c>
      <c r="S181" s="331">
        <f>S179</f>
        <v>9.016666666666659</v>
      </c>
      <c r="T181" s="31">
        <f>IF(N181="O",MAX(T$19:T180)+1,"")</f>
      </c>
      <c r="V181" s="34"/>
      <c r="X181" s="34"/>
      <c r="Y181" s="34"/>
      <c r="Z181" s="34"/>
      <c r="AA181" s="34"/>
      <c r="AB181" s="34"/>
      <c r="AC181" s="34"/>
      <c r="AO181" s="397"/>
    </row>
    <row r="182" spans="1:41" ht="15">
      <c r="A182" s="348"/>
      <c r="B182" s="182">
        <f>VLOOKUP($B$1,INFOS!A:AU,40,FALSE)</f>
        <v>1</v>
      </c>
      <c r="C182" s="338"/>
      <c r="D182" s="408"/>
      <c r="E182" s="408"/>
      <c r="F182" s="408"/>
      <c r="G182" s="408"/>
      <c r="H182" s="408"/>
      <c r="I182" s="408"/>
      <c r="J182" s="408"/>
      <c r="K182" s="408"/>
      <c r="L182" s="408"/>
      <c r="M182" s="409"/>
      <c r="N182" s="342"/>
      <c r="O182" s="343"/>
      <c r="P182" s="343"/>
      <c r="Q182" s="344"/>
      <c r="R182" s="346"/>
      <c r="S182" s="332"/>
      <c r="T182" s="31">
        <f>IF(N182="O",MAX(T$19:T181)+1,"")</f>
      </c>
      <c r="V182" s="34"/>
      <c r="X182" s="34"/>
      <c r="Y182" s="34"/>
      <c r="Z182" s="34"/>
      <c r="AA182" s="34"/>
      <c r="AB182" s="34"/>
      <c r="AC182" s="34"/>
      <c r="AO182" s="397"/>
    </row>
    <row r="183" spans="1:41" ht="15">
      <c r="A183" s="348"/>
      <c r="B183" s="350" t="str">
        <f>VLOOKUP($B$1,INFOS!A:AU,9,FALSE)</f>
        <v>Direction Générale des Services</v>
      </c>
      <c r="C183" s="338"/>
      <c r="D183" s="171">
        <f>IF(ROWS($D$183:D183)&lt;=MAX($U$160:$U$178),INDEX($D$160:$D$178,MATCH(ROWS($D$183:D183),$U$160:$U$178,0)),"")</f>
        <v>43058</v>
      </c>
      <c r="E183" s="209">
        <f aca="true" t="shared" si="136" ref="E183:M183">IF($D183&lt;&gt;"",_xlfn.IFERROR(VLOOKUP($D183,$D$165:$S$178,COLUMN(B$1),0),""),"")</f>
        <v>0.375</v>
      </c>
      <c r="F183" s="209">
        <f t="shared" si="136"/>
        <v>0.5520833333333334</v>
      </c>
      <c r="G183" s="209">
        <f t="shared" si="136"/>
        <v>0.17708333333333337</v>
      </c>
      <c r="H183" s="209">
        <f t="shared" si="136"/>
      </c>
      <c r="I183" s="209">
        <f t="shared" si="136"/>
      </c>
      <c r="J183" s="209">
        <f t="shared" si="136"/>
      </c>
      <c r="K183" s="160">
        <f t="shared" si="136"/>
      </c>
      <c r="L183" s="209">
        <f t="shared" si="136"/>
        <v>0.17708333333333337</v>
      </c>
      <c r="M183" s="160">
        <f t="shared" si="136"/>
        <v>4.250000000000001</v>
      </c>
      <c r="N183" s="273" t="str">
        <f>IF(OR(O183&lt;&gt;"",P183&lt;&gt;""),"O","")</f>
        <v>O</v>
      </c>
      <c r="O183" s="274">
        <f aca="true" t="shared" si="137" ref="O183:P187">IF($D183&lt;&gt;"",_xlfn.IFERROR(VLOOKUP($D183,$D$165:$S$178,COLUMN(O$1),0),""),"")</f>
      </c>
      <c r="P183" s="274">
        <f t="shared" si="137"/>
        <v>2.683333333333324</v>
      </c>
      <c r="Q183" s="282"/>
      <c r="R183" s="282"/>
      <c r="S183" s="286"/>
      <c r="T183" s="31">
        <f>IF(N183="O",MAX(T$181:T182)+1,"")</f>
        <v>1</v>
      </c>
      <c r="U183" s="31">
        <f>IF(Q183="O",MAX(U$181:U182)+1,"")</f>
      </c>
      <c r="V183" s="106">
        <f>IF(W183&lt;&gt;"",VLOOKUP($B$20,'Grille IND'!$A$5:$F$653,3,FALSE),"")</f>
      </c>
      <c r="W183" s="106">
        <f>IF(T183="","",IF(OR(AO183="D",AO183="F"),"",IF(OR(AND(N183="O",Q183="",P183&lt;=14),AND(N183="O",Q183="O",P183&lt;=14)),P183,14)))</f>
      </c>
      <c r="X183" s="107">
        <f>IF(Y183&lt;&gt;"",VLOOKUP($B$20,'Grille IND'!$A$5:$F$653,4,FALSE),"")</f>
      </c>
      <c r="Y183" s="107">
        <f>IF(T183="","",IF(OR(AO183="D",AO183="F"),"",IF(OR(AND(N183="O",Q183="",P183&gt;14),AND(N183="O",Q183="O",P183&gt;14)),P183-14,"")))</f>
      </c>
      <c r="Z183" s="108">
        <f>IF(AA183&lt;&gt;"",VLOOKUP($B$20,'Grille IND'!$A$5:$F$653,5,FALSE),"")</f>
        <v>26.52</v>
      </c>
      <c r="AA183" s="108">
        <f>IF(T183="","",IF(OR(AND(OR(AO183="D",AO183="F"),N183="O",Q183=""),AND(OR(AO183="D",AO183="F"),N183="O",Q183="O")),P183,""))</f>
        <v>2.683333333333324</v>
      </c>
      <c r="AB183" s="109">
        <f>IF(AC183&lt;&gt;"",VLOOKUP($B$20,'Grille IND'!$A$5:$F$653,6,FALSE),"")</f>
      </c>
      <c r="AC183" s="109">
        <f>IF(T183="","",IF(O183="","",O183))</f>
      </c>
      <c r="AO183" s="105" t="str">
        <f t="shared" si="100"/>
        <v>D</v>
      </c>
    </row>
    <row r="184" spans="1:41" ht="15">
      <c r="A184" s="348"/>
      <c r="B184" s="350"/>
      <c r="C184" s="338"/>
      <c r="D184" s="171">
        <f>IF(ROWS($D$183:D184)&lt;=MAX($U$160:$U$178),INDEX($D$160:$D$178,MATCH(ROWS($D$183:D184),$U$160:$U$178,0)),"")</f>
        <v>43065</v>
      </c>
      <c r="E184" s="209">
        <f aca="true" t="shared" si="138" ref="E184:L187">IF($D184&lt;&gt;"",_xlfn.IFERROR(VLOOKUP($D184,$D$165:$S$178,COLUMN(B$1),0),""),"")</f>
        <v>0.3333333333333333</v>
      </c>
      <c r="F184" s="209">
        <f t="shared" si="138"/>
        <v>0.5069444444444444</v>
      </c>
      <c r="G184" s="209">
        <f t="shared" si="138"/>
        <v>0.1736111111111111</v>
      </c>
      <c r="H184" s="209">
        <f t="shared" si="138"/>
      </c>
      <c r="I184" s="209">
        <f t="shared" si="138"/>
      </c>
      <c r="J184" s="209">
        <f t="shared" si="138"/>
      </c>
      <c r="K184" s="160">
        <f t="shared" si="138"/>
      </c>
      <c r="L184" s="209">
        <f t="shared" si="138"/>
        <v>0.1736111111111111</v>
      </c>
      <c r="M184" s="160">
        <f>IF($D184&lt;&gt;"",_xlfn.IFERROR(VLOOKUP($D184,$D$51:$S$63,COLUMN(J$1),0),""),"")</f>
        <v>4.166666666666666</v>
      </c>
      <c r="N184" s="277" t="str">
        <f>IF(OR(O184&lt;&gt;"",P184&lt;&gt;""),"O","")</f>
        <v>O</v>
      </c>
      <c r="O184" s="279">
        <f t="shared" si="137"/>
      </c>
      <c r="P184" s="279">
        <f t="shared" si="137"/>
        <v>4.166666666666666</v>
      </c>
      <c r="Q184" s="285"/>
      <c r="R184" s="285"/>
      <c r="S184" s="287"/>
      <c r="T184" s="31">
        <f>IF(N184="O",MAX(T$181:T183)+1,"")</f>
        <v>2</v>
      </c>
      <c r="U184" s="31">
        <f>IF(Q184="O",MAX(U$181:U183)+1,"")</f>
      </c>
      <c r="V184" s="106">
        <f>IF(W184&lt;&gt;"",VLOOKUP($B$20,'Grille IND'!$A$5:$F$653,3,FALSE),"")</f>
      </c>
      <c r="W184" s="106">
        <f>IF(T184="","",IF(OR(AO184="D",AO184="F"),"",IF(OR(AND(N184="O",Q184="",P184&lt;=14),AND(N184="O",Q184="O",P184&lt;=14)),P184,14)))</f>
      </c>
      <c r="X184" s="107">
        <f>IF(Y184&lt;&gt;"",VLOOKUP($B$20,'Grille IND'!$A$5:$F$653,4,FALSE),"")</f>
      </c>
      <c r="Y184" s="107">
        <f>IF(T184="","",IF(OR(AO184="D",AO184="F"),"",IF(OR(AND(N184="O",Q184="",P184&gt;14),AND(N184="O",Q184="O",P184&gt;14)),P184-14,"")))</f>
      </c>
      <c r="Z184" s="108">
        <f>IF(AA184&lt;&gt;"",VLOOKUP($B$20,'Grille IND'!$A$5:$F$653,5,FALSE),"")</f>
        <v>26.52</v>
      </c>
      <c r="AA184" s="108">
        <f>IF(T184="","",IF(OR(AND(OR(AO184="D",AO184="F"),N184="O",Q184=""),AND(OR(AO184="D",AO184="F"),N184="O",Q184="O")),P184,""))</f>
        <v>4.166666666666666</v>
      </c>
      <c r="AB184" s="109">
        <f>IF(AC184&lt;&gt;"",VLOOKUP($B$20,'Grille IND'!$A$5:$F$653,6,FALSE),"")</f>
      </c>
      <c r="AC184" s="109">
        <f>IF(T184="","",IF(O184="","",O184))</f>
      </c>
      <c r="AO184" s="105" t="str">
        <f t="shared" si="100"/>
        <v>D</v>
      </c>
    </row>
    <row r="185" spans="1:41" ht="15">
      <c r="A185" s="348"/>
      <c r="B185" s="139"/>
      <c r="C185" s="338"/>
      <c r="D185" s="171">
        <f>IF(ROWS($D$183:D185)&lt;=MAX($U$160:$U$178),INDEX($D$160:$D$178,MATCH(ROWS($D$183:D185),$U$160:$U$178,0)),"")</f>
        <v>43060</v>
      </c>
      <c r="E185" s="209">
        <f t="shared" si="138"/>
        <v>0.8333333333333334</v>
      </c>
      <c r="F185" s="209">
        <f t="shared" si="138"/>
        <v>0.8819444444444445</v>
      </c>
      <c r="G185" s="209">
        <f t="shared" si="138"/>
        <v>0.04861111111111116</v>
      </c>
      <c r="H185" s="209">
        <f t="shared" si="138"/>
      </c>
      <c r="I185" s="209">
        <f t="shared" si="138"/>
      </c>
      <c r="J185" s="209">
        <f t="shared" si="138"/>
      </c>
      <c r="K185" s="160">
        <f t="shared" si="138"/>
      </c>
      <c r="L185" s="209">
        <f t="shared" si="138"/>
        <v>0.04861111111111116</v>
      </c>
      <c r="M185" s="160">
        <f>IF($D185&lt;&gt;"",_xlfn.IFERROR(VLOOKUP($D185,$D$51:$S$63,COLUMN(J$1),0),""),"")</f>
        <v>1.1666666666666679</v>
      </c>
      <c r="N185" s="277" t="str">
        <f>IF(OR(O185&lt;&gt;"",P185&lt;&gt;""),"O","")</f>
        <v>O</v>
      </c>
      <c r="O185" s="279">
        <f t="shared" si="137"/>
      </c>
      <c r="P185" s="279">
        <f t="shared" si="137"/>
        <v>1.1666666666666679</v>
      </c>
      <c r="Q185" s="285"/>
      <c r="R185" s="285"/>
      <c r="S185" s="287"/>
      <c r="T185" s="31">
        <f>IF(N185="O",MAX(T$181:T184)+1,"")</f>
        <v>3</v>
      </c>
      <c r="U185" s="31">
        <f>IF(Q185="O",MAX(U$181:U184)+1,"")</f>
      </c>
      <c r="V185" s="106">
        <f>IF(W185&lt;&gt;"",VLOOKUP($B$20,'Grille IND'!$A$5:$F$653,3,FALSE),"")</f>
        <v>15.91</v>
      </c>
      <c r="W185" s="106">
        <f>IF(T185="","",IF(OR(AO185="D",AO185="F"),"",IF(OR(AND(N185="O",Q185="",P185&lt;=14),AND(N185="O",Q185="O",P185&lt;=14)),P185,14)))</f>
        <v>1.1666666666666679</v>
      </c>
      <c r="X185" s="107">
        <f>IF(Y185&lt;&gt;"",VLOOKUP($B$20,'Grille IND'!$A$5:$F$653,4,FALSE),"")</f>
      </c>
      <c r="Y185" s="107">
        <f>IF(T185="","",IF(OR(AO185="D",AO185="F"),"",IF(OR(AND(N185="O",Q185="",P185&gt;14),AND(N185="O",Q185="O",P185&gt;14)),P185-14,"")))</f>
      </c>
      <c r="Z185" s="108">
        <f>IF(AA185&lt;&gt;"",VLOOKUP($B$20,'Grille IND'!$A$5:$F$653,5,FALSE),"")</f>
      </c>
      <c r="AA185" s="108">
        <f>IF(T185="","",IF(OR(AND(OR(AO185="D",AO185="F"),N185="O",Q185=""),AND(OR(AO185="D",AO185="F"),N185="O",Q185="O")),P185,""))</f>
      </c>
      <c r="AB185" s="109">
        <f>IF(AC185&lt;&gt;"",VLOOKUP($B$20,'Grille IND'!$A$5:$F$653,6,FALSE),"")</f>
      </c>
      <c r="AC185" s="109">
        <f>IF(T185="","",IF(O185="","",O185))</f>
      </c>
      <c r="AO185" s="105">
        <f t="shared" si="100"/>
      </c>
    </row>
    <row r="186" spans="1:41" ht="15">
      <c r="A186" s="348"/>
      <c r="B186" s="139"/>
      <c r="C186" s="338"/>
      <c r="D186" s="171">
        <f>IF(ROWS($D$183:D186)&lt;=MAX($U$160:$U$178),INDEX($D$160:$D$178,MATCH(ROWS($D$183:D186),$U$160:$U$178,0)),"")</f>
        <v>43061</v>
      </c>
      <c r="E186" s="209">
        <f t="shared" si="138"/>
        <v>0.875</v>
      </c>
      <c r="F186" s="209">
        <f t="shared" si="138"/>
        <v>0.9270833333333334</v>
      </c>
      <c r="G186" s="209">
        <f t="shared" si="138"/>
        <v>0.05208333333333337</v>
      </c>
      <c r="H186" s="209">
        <f t="shared" si="138"/>
      </c>
      <c r="I186" s="209">
        <f t="shared" si="138"/>
        <v>0.01041666666666674</v>
      </c>
      <c r="J186" s="209">
        <f t="shared" si="138"/>
        <v>0.01041666666666674</v>
      </c>
      <c r="K186" s="160">
        <f t="shared" si="138"/>
        <v>0.2500000000000018</v>
      </c>
      <c r="L186" s="209">
        <f t="shared" si="138"/>
        <v>0.04166666666666663</v>
      </c>
      <c r="M186" s="160">
        <f>IF($D186&lt;&gt;"",_xlfn.IFERROR(VLOOKUP($D186,$D$51:$S$63,COLUMN(J$1),0),""),"")</f>
        <v>0.9999999999999991</v>
      </c>
      <c r="N186" s="277" t="str">
        <f>IF(OR(O186&lt;&gt;"",P186&lt;&gt;""),"O","")</f>
        <v>O</v>
      </c>
      <c r="O186" s="279">
        <f t="shared" si="137"/>
        <v>0.2500000000000018</v>
      </c>
      <c r="P186" s="279">
        <f t="shared" si="137"/>
        <v>0.9999999999999991</v>
      </c>
      <c r="Q186" s="285"/>
      <c r="R186" s="285"/>
      <c r="S186" s="287"/>
      <c r="T186" s="31">
        <f>IF(N186="O",MAX(T$181:T185)+1,"")</f>
        <v>4</v>
      </c>
      <c r="U186" s="31">
        <f>IF(Q186="O",MAX(U$181:U185)+1,"")</f>
      </c>
      <c r="V186" s="106">
        <f>IF(W186&lt;&gt;"",VLOOKUP($B$20,'Grille IND'!$A$5:$F$653,3,FALSE),"")</f>
        <v>15.91</v>
      </c>
      <c r="W186" s="106">
        <f>IF(T186="","",IF(OR(AO186="D",AO186="F"),"",IF(OR(AND(N186="O",Q186="",P186&lt;=14),AND(N186="O",Q186="O",P186&lt;=14)),P186,14)))</f>
        <v>0.9999999999999991</v>
      </c>
      <c r="X186" s="107">
        <f>IF(Y186&lt;&gt;"",VLOOKUP($B$20,'Grille IND'!$A$5:$F$653,4,FALSE),"")</f>
      </c>
      <c r="Y186" s="107">
        <f>IF(T186="","",IF(OR(AO186="D",AO186="F"),"",IF(OR(AND(N186="O",Q186="",P186&gt;14),AND(N186="O",Q186="O",P186&gt;14)),P186-14,"")))</f>
      </c>
      <c r="Z186" s="108">
        <f>IF(AA186&lt;&gt;"",VLOOKUP($B$20,'Grille IND'!$A$5:$F$653,5,FALSE),"")</f>
      </c>
      <c r="AA186" s="108">
        <f>IF(T186="","",IF(OR(AND(OR(AO186="D",AO186="F"),N186="O",Q186=""),AND(OR(AO186="D",AO186="F"),N186="O",Q186="O")),P186,""))</f>
      </c>
      <c r="AB186" s="109">
        <f>IF(AC186&lt;&gt;"",VLOOKUP($B$20,'Grille IND'!$A$5:$F$653,6,FALSE),"")</f>
        <v>31.82</v>
      </c>
      <c r="AC186" s="109">
        <f>IF(T186="","",IF(O186="","",O186))</f>
        <v>0.2500000000000018</v>
      </c>
      <c r="AO186" s="105">
        <f t="shared" si="100"/>
      </c>
    </row>
    <row r="187" spans="1:41" ht="15">
      <c r="A187" s="348"/>
      <c r="B187" s="139"/>
      <c r="C187" s="338"/>
      <c r="D187" s="171">
        <f>IF(ROWS($D$183:D187)&lt;=MAX($U$160:$U$178),INDEX($D$160:$D$178,MATCH(ROWS($D$183:D187),$U$160:$U$178,0)),"")</f>
      </c>
      <c r="E187" s="209">
        <f t="shared" si="138"/>
      </c>
      <c r="F187" s="209">
        <f t="shared" si="138"/>
      </c>
      <c r="G187" s="209">
        <f t="shared" si="138"/>
      </c>
      <c r="H187" s="209">
        <f t="shared" si="138"/>
      </c>
      <c r="I187" s="209">
        <f t="shared" si="138"/>
      </c>
      <c r="J187" s="209">
        <f t="shared" si="138"/>
      </c>
      <c r="K187" s="160">
        <f t="shared" si="138"/>
      </c>
      <c r="L187" s="209">
        <f t="shared" si="138"/>
      </c>
      <c r="M187" s="160">
        <f>IF($D187&lt;&gt;"",_xlfn.IFERROR(VLOOKUP($D187,$D$51:$S$63,COLUMN(J$1),0),""),"")</f>
      </c>
      <c r="N187" s="277">
        <f>IF(OR(O187&lt;&gt;"",P187&lt;&gt;""),"O","")</f>
      </c>
      <c r="O187" s="279">
        <f t="shared" si="137"/>
      </c>
      <c r="P187" s="279">
        <f t="shared" si="137"/>
      </c>
      <c r="Q187" s="285"/>
      <c r="R187" s="285"/>
      <c r="S187" s="287"/>
      <c r="T187" s="31">
        <f>IF(N187="O",MAX(T$181:T186)+1,"")</f>
      </c>
      <c r="U187" s="31">
        <f>IF(Q187="O",MAX(U$181:U186)+1,"")</f>
      </c>
      <c r="V187" s="106">
        <f>IF(W187&lt;&gt;"",VLOOKUP($B$20,'Grille IND'!$A$5:$F$653,3,FALSE),"")</f>
      </c>
      <c r="W187" s="106">
        <f>IF(T187="","",IF(OR(AO187="D",AO187="F"),"",IF(OR(AND(N187="O",Q187="",P187&lt;=14),AND(N187="O",Q187="O",P187&lt;=14)),P187,14)))</f>
      </c>
      <c r="X187" s="107">
        <f>IF(Y187&lt;&gt;"",VLOOKUP($B$20,'Grille IND'!$A$5:$F$653,4,FALSE),"")</f>
      </c>
      <c r="Y187" s="107">
        <f>IF(T187="","",IF(OR(AO187="D",AO187="F"),"",IF(OR(AND(N187="O",Q187="",P187&gt;14),AND(N187="O",Q187="O",P187&gt;14)),P187-14,"")))</f>
      </c>
      <c r="Z187" s="108">
        <f>IF(AA187&lt;&gt;"",VLOOKUP($B$20,'Grille IND'!$A$5:$F$653,5,FALSE),"")</f>
      </c>
      <c r="AA187" s="108">
        <f>IF(T187="","",IF(OR(AND(OR(AO187="D",AO187="F"),N187="O",Q187=""),AND(OR(AO187="D",AO187="F"),N187="O",Q187="O")),P187,""))</f>
      </c>
      <c r="AB187" s="109">
        <f>IF(AC187&lt;&gt;"",VLOOKUP($B$20,'Grille IND'!$A$5:$F$653,6,FALSE),"")</f>
      </c>
      <c r="AC187" s="109">
        <f>IF(T187="","",IF(O187="","",O187))</f>
      </c>
      <c r="AO187" s="105">
        <f t="shared" si="100"/>
      </c>
    </row>
    <row r="188" spans="1:41" ht="15">
      <c r="A188" s="348"/>
      <c r="B188" s="139"/>
      <c r="C188" s="338"/>
      <c r="D188" s="303">
        <f>IF(AND(K188="",M188=""),"",IF(OR(SUM(K$22:K188,M$22:M188)&lt;=25,AND(SUM(K$22:K188,M$22:M188)&lt;=25,SUM(K$22:K188,M$22:M188,M188,K188)&gt;25)),"O","N"))</f>
      </c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4"/>
      <c r="T188" s="31">
        <f>IF(N188="O",MAX(T$181:T187)+1,"")</f>
      </c>
      <c r="U188" s="31">
        <f>IF(Q188="O",MAX(U$181:U187)+1,"")</f>
      </c>
      <c r="V188" s="238"/>
      <c r="W188" s="238"/>
      <c r="X188" s="252"/>
      <c r="Y188" s="252"/>
      <c r="Z188" s="253"/>
      <c r="AA188" s="253"/>
      <c r="AB188" s="254"/>
      <c r="AC188" s="254"/>
      <c r="AO188" s="105">
        <f t="shared" si="100"/>
      </c>
    </row>
    <row r="189" spans="1:41" ht="15">
      <c r="A189" s="348"/>
      <c r="B189" s="139"/>
      <c r="C189" s="334" t="s">
        <v>27</v>
      </c>
      <c r="D189" s="133">
        <v>43102</v>
      </c>
      <c r="E189" s="210">
        <v>0.7152777777777778</v>
      </c>
      <c r="F189" s="213">
        <v>0.9270833333333334</v>
      </c>
      <c r="G189" s="213">
        <f aca="true" t="shared" si="139" ref="G189:G201">IF(AND(E189="",F189=""),"",MOD(F189-E189,1))</f>
        <v>0.21180555555555558</v>
      </c>
      <c r="H189" s="213">
        <f aca="true" t="shared" si="140" ref="H189:H201">IF(E189="","",IF($E189&lt;$AJ$3,$AJ$3-$E189,""))</f>
      </c>
      <c r="I189" s="213">
        <f aca="true" t="shared" si="141" ref="I189:I201">IF(F189="","",IF($F189&gt;$AK$3,$F189-$AK$3,""))</f>
        <v>0.01041666666666674</v>
      </c>
      <c r="J189" s="210">
        <f aca="true" t="shared" si="142" ref="J189:J201">IF(AND(H189="",I189=""),"",SUM(H189,I189))</f>
        <v>0.01041666666666674</v>
      </c>
      <c r="K189" s="135">
        <f aca="true" t="shared" si="143" ref="K189:K201">IF(J189="","",J189*24)</f>
        <v>0.2500000000000018</v>
      </c>
      <c r="L189" s="210">
        <f>IF(AND(E189="",F189=""),"",IF(J189&lt;&gt;"",G189-J189,G189))</f>
        <v>0.20138888888888884</v>
      </c>
      <c r="M189" s="135">
        <f aca="true" t="shared" si="144" ref="M189:M201">IF(L189="","",L189*24)</f>
        <v>4.833333333333332</v>
      </c>
      <c r="N189" s="271" t="str">
        <f>IF(AND(K189="",M189=""),"",IF(OR(SUM($O$183:$P$187,K$189:K189,M$189:M189)&lt;=25,AND(SUM($O$183:$P$187,K$188:K188,M$188:M188)&lt;=25,SUM($O$183:$P$187,K$189:K189,M$189:M189)&gt;25)),"O","N"))</f>
        <v>O</v>
      </c>
      <c r="O189" s="300">
        <f>IF(OR(N189="N",N189=""),"",IF(K189="","",IF((25-SUM(O$183:O188,P$183:P188))&gt;K189,K189,25-SUM(O$183:O188,P$183:P188))))</f>
        <v>0.2500000000000018</v>
      </c>
      <c r="P189" s="135">
        <f>IF(OR(N189="N",N189=""),"",IF(M189="","",IF(25-SUM($O$183:O189,$P$183:P188)&gt;M189,M189,25-SUM($O$183:O189,$P$183:P188))))</f>
        <v>4.833333333333332</v>
      </c>
      <c r="Q189" s="137">
        <f aca="true" t="shared" si="145" ref="Q189:Q201">IF(AND(N189="O",SUM(O189,P189)=SUM(K189,M189)),"",IF(AND(N189="O",SUM(O189,P189)&lt;SUM(K189,M189)),"O",IF(N189="N","O","")))</f>
      </c>
      <c r="R189" s="135">
        <f aca="true" t="shared" si="146" ref="R189:R201">IF(Q189="","",IF(AND(N189="O",Q189="O"),IF(K189="","",K189-O189),IF(N189="N",IF(K189="","",K189),"")))</f>
      </c>
      <c r="S189" s="141">
        <f aca="true" t="shared" si="147" ref="S189:S201">IF(Q189="","",IF(AND(N189="O",Q189="O"),IF(M189="","",M189-P189),IF(N189="N",IF(M189="","",M189),"")))</f>
      </c>
      <c r="T189" s="31">
        <f>IF(N189="O",MAX(T$181:T188)+1,"")</f>
        <v>5</v>
      </c>
      <c r="U189" s="31">
        <f>IF(Q189="O",MAX(U$181:U188)+1,"")</f>
      </c>
      <c r="V189" s="106">
        <f>IF(W189&lt;&gt;"",VLOOKUP($B$20,'Grille IND'!$A$5:$F$653,3,FALSE),"")</f>
        <v>15.91</v>
      </c>
      <c r="W189" s="106">
        <f aca="true" t="shared" si="148" ref="W189:W201">IF(T189="","",IF(OR(AO189="D",AO189="F"),"",IF(OR(AND(N189="O",Q189="",P189&lt;=14),AND(N189="O",Q189="O",P189&lt;=14)),P189,14)))</f>
        <v>4.833333333333332</v>
      </c>
      <c r="X189" s="107">
        <f>IF(Y189&lt;&gt;"",VLOOKUP($B$20,'Grille IND'!$A$5:$F$653,4,FALSE),"")</f>
      </c>
      <c r="Y189" s="107">
        <f aca="true" t="shared" si="149" ref="Y189:Y201">IF(T189="","",IF(OR(AO189="D",AO189="F"),"",IF(OR(AND(N189="O",Q189="",P189&gt;14),AND(N189="O",Q189="O",P189&gt;14)),P189-14,"")))</f>
      </c>
      <c r="Z189" s="108">
        <f>IF(AA189&lt;&gt;"",VLOOKUP($B$20,'Grille IND'!$A$5:$F$653,5,FALSE),"")</f>
      </c>
      <c r="AA189" s="108">
        <f aca="true" t="shared" si="150" ref="AA189:AA201">IF(T189="","",IF(OR(AND(OR(AO189="D",AO189="F"),N189="O",Q189=""),AND(OR(AO189="D",AO189="F"),N189="O",Q189="O")),P189,""))</f>
      </c>
      <c r="AB189" s="109">
        <f>IF(AC189&lt;&gt;"",VLOOKUP($B$20,'Grille IND'!$A$5:$F$653,6,FALSE),"")</f>
        <v>31.82</v>
      </c>
      <c r="AC189" s="109">
        <f aca="true" t="shared" si="151" ref="AC189:AC201">IF(T189="","",IF(O189="","",O189))</f>
        <v>0.2500000000000018</v>
      </c>
      <c r="AO189" s="105">
        <f t="shared" si="100"/>
      </c>
    </row>
    <row r="190" spans="1:41" ht="15">
      <c r="A190" s="348"/>
      <c r="B190" s="139"/>
      <c r="C190" s="334"/>
      <c r="D190" s="133">
        <v>43103</v>
      </c>
      <c r="E190" s="210">
        <v>0.7083333333333334</v>
      </c>
      <c r="F190" s="213">
        <v>0.96875</v>
      </c>
      <c r="G190" s="213">
        <f t="shared" si="139"/>
        <v>0.26041666666666663</v>
      </c>
      <c r="H190" s="213">
        <f t="shared" si="140"/>
      </c>
      <c r="I190" s="213">
        <f t="shared" si="141"/>
        <v>0.05208333333333337</v>
      </c>
      <c r="J190" s="210">
        <f t="shared" si="142"/>
        <v>0.05208333333333337</v>
      </c>
      <c r="K190" s="135">
        <f t="shared" si="143"/>
        <v>1.2500000000000009</v>
      </c>
      <c r="L190" s="210">
        <f aca="true" t="shared" si="152" ref="L190:L201">IF(AND(E190="",F190=""),"",IF(J190&lt;&gt;"",G190-J190,G190))</f>
        <v>0.20833333333333326</v>
      </c>
      <c r="M190" s="135">
        <f t="shared" si="144"/>
        <v>4.999999999999998</v>
      </c>
      <c r="N190" s="271" t="str">
        <f>IF(AND(K190="",M190=""),"",IF(OR(SUM($O$183:$P$187,K$189:K190,M$189:M190)&lt;=25,AND(SUM($O$183:$P$187,K$188:K189,M$188:M189)&lt;=25,SUM($O$183:$P$187,K$189:K190,M$189:M190)&gt;25)),"O","N"))</f>
        <v>O</v>
      </c>
      <c r="O190" s="300">
        <f>IF(OR(N190="N",N190=""),"",IF(K190="","",IF((25-SUM(O$183:O189,P$183:P189))&gt;K190,K190,25-SUM(O$183:O189,P$183:P189))))</f>
        <v>1.2500000000000009</v>
      </c>
      <c r="P190" s="135">
        <f>IF(OR(N190="N",N190=""),"",IF(M190="","",IF(25-SUM($O$183:O190,$P$183:P189)&gt;M190,M190,25-SUM($O$183:O190,$P$183:P189))))</f>
        <v>4.999999999999998</v>
      </c>
      <c r="Q190" s="137">
        <f t="shared" si="145"/>
      </c>
      <c r="R190" s="135">
        <f t="shared" si="146"/>
      </c>
      <c r="S190" s="141">
        <f t="shared" si="147"/>
      </c>
      <c r="T190" s="31">
        <f>IF(N190="O",MAX(T$181:T189)+1,"")</f>
        <v>6</v>
      </c>
      <c r="U190" s="31">
        <f>IF(Q190="O",MAX(U$181:U189)+1,"")</f>
      </c>
      <c r="V190" s="106">
        <f>IF(W190&lt;&gt;"",VLOOKUP($B$20,'Grille IND'!$A$5:$F$653,3,FALSE),"")</f>
        <v>15.91</v>
      </c>
      <c r="W190" s="106">
        <f t="shared" si="148"/>
        <v>4.999999999999998</v>
      </c>
      <c r="X190" s="107">
        <f>IF(Y190&lt;&gt;"",VLOOKUP($B$20,'Grille IND'!$A$5:$F$653,4,FALSE),"")</f>
      </c>
      <c r="Y190" s="107">
        <f t="shared" si="149"/>
      </c>
      <c r="Z190" s="108">
        <f>IF(AA190&lt;&gt;"",VLOOKUP($B$20,'Grille IND'!$A$5:$F$653,5,FALSE),"")</f>
      </c>
      <c r="AA190" s="108">
        <f t="shared" si="150"/>
      </c>
      <c r="AB190" s="109">
        <f>IF(AC190&lt;&gt;"",VLOOKUP($B$20,'Grille IND'!$A$5:$F$653,6,FALSE),"")</f>
        <v>31.82</v>
      </c>
      <c r="AC190" s="109">
        <f t="shared" si="151"/>
        <v>1.2500000000000009</v>
      </c>
      <c r="AO190" s="105">
        <f t="shared" si="100"/>
      </c>
    </row>
    <row r="191" spans="1:41" ht="15">
      <c r="A191" s="348"/>
      <c r="B191" s="139"/>
      <c r="C191" s="334"/>
      <c r="D191" s="133">
        <v>43110</v>
      </c>
      <c r="E191" s="210">
        <v>0.3506944444444444</v>
      </c>
      <c r="F191" s="213">
        <v>0.5520833333333334</v>
      </c>
      <c r="G191" s="213">
        <f t="shared" si="139"/>
        <v>0.20138888888888895</v>
      </c>
      <c r="H191" s="213">
        <f t="shared" si="140"/>
      </c>
      <c r="I191" s="213">
        <f t="shared" si="141"/>
      </c>
      <c r="J191" s="210">
        <f t="shared" si="142"/>
      </c>
      <c r="K191" s="135">
        <f t="shared" si="143"/>
      </c>
      <c r="L191" s="210">
        <f t="shared" si="152"/>
        <v>0.20138888888888895</v>
      </c>
      <c r="M191" s="135">
        <f t="shared" si="144"/>
        <v>4.833333333333335</v>
      </c>
      <c r="N191" s="271" t="str">
        <f>IF(AND(K191="",M191=""),"",IF(OR(SUM($O$183:$P$187,K$189:K191,M$189:M191)&lt;=25,AND(SUM($O$183:$P$187,K$188:K190,M$188:M190)&lt;=25,SUM($O$183:$P$187,K$189:K191,M$189:M191)&gt;25)),"O","N"))</f>
        <v>O</v>
      </c>
      <c r="O191" s="300">
        <f>IF(OR(N191="N",N191=""),"",IF(K191="","",IF((25-SUM(O$183:O190,P$183:P190))&gt;K191,K191,25-SUM(O$183:O190,P$183:P190))))</f>
      </c>
      <c r="P191" s="135">
        <f>IF(OR(N191="N",N191=""),"",IF(M191="","",IF(25-SUM($O$183:O191,$P$183:P190)&gt;M191,M191,25-SUM($O$183:O191,$P$183:P190))))</f>
        <v>4.400000000000006</v>
      </c>
      <c r="Q191" s="137" t="str">
        <f t="shared" si="145"/>
        <v>O</v>
      </c>
      <c r="R191" s="135">
        <f t="shared" si="146"/>
      </c>
      <c r="S191" s="141">
        <f t="shared" si="147"/>
        <v>0.43333333333332913</v>
      </c>
      <c r="T191" s="31">
        <f>IF(N191="O",MAX(T$181:T190)+1,"")</f>
        <v>7</v>
      </c>
      <c r="U191" s="31">
        <f>IF(Q191="O",MAX(U$181:U190)+1,"")</f>
        <v>1</v>
      </c>
      <c r="V191" s="106">
        <f>IF(W191&lt;&gt;"",VLOOKUP($B$20,'Grille IND'!$A$5:$F$653,3,FALSE),"")</f>
        <v>15.91</v>
      </c>
      <c r="W191" s="106">
        <f t="shared" si="148"/>
        <v>4.400000000000006</v>
      </c>
      <c r="X191" s="107">
        <f>IF(Y191&lt;&gt;"",VLOOKUP($B$20,'Grille IND'!$A$5:$F$653,4,FALSE),"")</f>
      </c>
      <c r="Y191" s="107">
        <f t="shared" si="149"/>
      </c>
      <c r="Z191" s="108">
        <f>IF(AA191&lt;&gt;"",VLOOKUP($B$20,'Grille IND'!$A$5:$F$653,5,FALSE),"")</f>
      </c>
      <c r="AA191" s="108">
        <f t="shared" si="150"/>
      </c>
      <c r="AB191" s="109">
        <f>IF(AC191&lt;&gt;"",VLOOKUP($B$20,'Grille IND'!$A$5:$F$653,6,FALSE),"")</f>
      </c>
      <c r="AC191" s="109">
        <f t="shared" si="151"/>
      </c>
      <c r="AO191" s="105">
        <f t="shared" si="100"/>
      </c>
    </row>
    <row r="192" spans="1:41" ht="15">
      <c r="A192" s="348"/>
      <c r="B192" s="139"/>
      <c r="C192" s="334"/>
      <c r="D192" s="133">
        <v>43115</v>
      </c>
      <c r="E192" s="210">
        <v>0.25</v>
      </c>
      <c r="F192" s="213">
        <v>0.4166666666666667</v>
      </c>
      <c r="G192" s="213">
        <f t="shared" si="139"/>
        <v>0.16666666666666669</v>
      </c>
      <c r="H192" s="213">
        <f t="shared" si="140"/>
        <v>0.041666666666666685</v>
      </c>
      <c r="I192" s="213">
        <f t="shared" si="141"/>
      </c>
      <c r="J192" s="210">
        <f t="shared" si="142"/>
        <v>0.041666666666666685</v>
      </c>
      <c r="K192" s="135">
        <f t="shared" si="143"/>
        <v>1.0000000000000004</v>
      </c>
      <c r="L192" s="210">
        <f t="shared" si="152"/>
        <v>0.125</v>
      </c>
      <c r="M192" s="135">
        <f t="shared" si="144"/>
        <v>3</v>
      </c>
      <c r="N192" s="271" t="str">
        <f>IF(AND(K192="",M192=""),"",IF(OR(SUM($O$183:$P$187,K$189:K192,M$189:M192)&lt;=25,AND(SUM($O$183:$P$187,K$188:K191,M$188:M191)&lt;=25,SUM($O$183:$P$187,K$189:K192,M$189:M192)&gt;25)),"O","N"))</f>
        <v>N</v>
      </c>
      <c r="O192" s="300">
        <f>IF(OR(N192="N",N192=""),"",IF(K192="","",IF((25-SUM(O$183:O191,P$183:P191))&gt;K192,K192,25-SUM(O$183:O191,P$183:P191))))</f>
      </c>
      <c r="P192" s="135">
        <f>IF(OR(N192="N",N192=""),"",IF(M192="","",IF(25-SUM($O$183:O192,$P$183:P191)&gt;M192,M192,25-SUM($O$183:O192,$P$183:P191))))</f>
      </c>
      <c r="Q192" s="137" t="str">
        <f t="shared" si="145"/>
        <v>O</v>
      </c>
      <c r="R192" s="135">
        <f t="shared" si="146"/>
        <v>1.0000000000000004</v>
      </c>
      <c r="S192" s="141">
        <f t="shared" si="147"/>
        <v>3</v>
      </c>
      <c r="T192" s="31">
        <f>IF(N192="O",MAX(T$181:T191)+1,"")</f>
      </c>
      <c r="U192" s="31">
        <f>IF(Q192="O",MAX(U$181:U191)+1,"")</f>
        <v>2</v>
      </c>
      <c r="V192" s="106">
        <f>IF(W192&lt;&gt;"",VLOOKUP($B$20,'Grille IND'!$A$5:$F$653,3,FALSE),"")</f>
      </c>
      <c r="W192" s="106">
        <f t="shared" si="148"/>
      </c>
      <c r="X192" s="107">
        <f>IF(Y192&lt;&gt;"",VLOOKUP($B$20,'Grille IND'!$A$5:$F$653,4,FALSE),"")</f>
      </c>
      <c r="Y192" s="107">
        <f t="shared" si="149"/>
      </c>
      <c r="Z192" s="108">
        <f>IF(AA192&lt;&gt;"",VLOOKUP($B$20,'Grille IND'!$A$5:$F$653,5,FALSE),"")</f>
      </c>
      <c r="AA192" s="108">
        <f t="shared" si="150"/>
      </c>
      <c r="AB192" s="109">
        <f>IF(AC192&lt;&gt;"",VLOOKUP($B$20,'Grille IND'!$A$5:$F$653,6,FALSE),"")</f>
      </c>
      <c r="AC192" s="109">
        <f t="shared" si="151"/>
      </c>
      <c r="AO192" s="105">
        <f t="shared" si="100"/>
      </c>
    </row>
    <row r="193" spans="1:41" ht="15">
      <c r="A193" s="348"/>
      <c r="B193" s="139"/>
      <c r="C193" s="334"/>
      <c r="D193" s="133">
        <v>43121</v>
      </c>
      <c r="E193" s="210">
        <v>0.7916666666666666</v>
      </c>
      <c r="F193" s="213">
        <v>0.90625</v>
      </c>
      <c r="G193" s="213">
        <f t="shared" si="139"/>
        <v>0.11458333333333337</v>
      </c>
      <c r="H193" s="213">
        <f t="shared" si="140"/>
      </c>
      <c r="I193" s="213">
        <f t="shared" si="141"/>
      </c>
      <c r="J193" s="210">
        <f t="shared" si="142"/>
      </c>
      <c r="K193" s="135">
        <f t="shared" si="143"/>
      </c>
      <c r="L193" s="210">
        <f t="shared" si="152"/>
        <v>0.11458333333333337</v>
      </c>
      <c r="M193" s="135">
        <f t="shared" si="144"/>
        <v>2.750000000000001</v>
      </c>
      <c r="N193" s="271" t="str">
        <f>IF(AND(K193="",M193=""),"",IF(OR(SUM($O$183:$P$187,K$189:K193,M$189:M193)&lt;=25,AND(SUM($O$183:$P$187,K$188:K192,M$188:M192)&lt;=25,SUM($O$183:$P$187,K$189:K193,M$189:M193)&gt;25)),"O","N"))</f>
        <v>N</v>
      </c>
      <c r="O193" s="300">
        <f>IF(OR(N193="N",N193=""),"",IF(K193="","",IF((25-SUM(O$183:O192,P$183:P192))&gt;K193,K193,25-SUM(O$183:O192,P$183:P192))))</f>
      </c>
      <c r="P193" s="135">
        <f>IF(OR(N193="N",N193=""),"",IF(M193="","",IF(25-SUM($O$183:O193,$P$183:P192)&gt;M193,M193,25-SUM($O$183:O193,$P$183:P192))))</f>
      </c>
      <c r="Q193" s="137" t="str">
        <f t="shared" si="145"/>
        <v>O</v>
      </c>
      <c r="R193" s="135">
        <f t="shared" si="146"/>
      </c>
      <c r="S193" s="141">
        <f t="shared" si="147"/>
        <v>2.750000000000001</v>
      </c>
      <c r="T193" s="31">
        <f>IF(N193="O",MAX(T$181:T192)+1,"")</f>
      </c>
      <c r="U193" s="31">
        <f>IF(Q193="O",MAX(U$181:U192)+1,"")</f>
        <v>3</v>
      </c>
      <c r="V193" s="106">
        <f>IF(W193&lt;&gt;"",VLOOKUP($B$20,'Grille IND'!$A$5:$F$653,3,FALSE),"")</f>
      </c>
      <c r="W193" s="106">
        <f t="shared" si="148"/>
      </c>
      <c r="X193" s="107">
        <f>IF(Y193&lt;&gt;"",VLOOKUP($B$20,'Grille IND'!$A$5:$F$653,4,FALSE),"")</f>
      </c>
      <c r="Y193" s="107">
        <f t="shared" si="149"/>
      </c>
      <c r="Z193" s="108">
        <f>IF(AA193&lt;&gt;"",VLOOKUP($B$20,'Grille IND'!$A$5:$F$653,5,FALSE),"")</f>
      </c>
      <c r="AA193" s="108">
        <f t="shared" si="150"/>
      </c>
      <c r="AB193" s="109">
        <f>IF(AC193&lt;&gt;"",VLOOKUP($B$20,'Grille IND'!$A$5:$F$653,6,FALSE),"")</f>
      </c>
      <c r="AC193" s="109">
        <f t="shared" si="151"/>
      </c>
      <c r="AO193" s="105" t="str">
        <f t="shared" si="100"/>
        <v>D</v>
      </c>
    </row>
    <row r="194" spans="1:41" ht="15">
      <c r="A194" s="348"/>
      <c r="B194" s="139"/>
      <c r="C194" s="334"/>
      <c r="D194" s="133">
        <v>43125</v>
      </c>
      <c r="E194" s="210">
        <v>0.4166666666666667</v>
      </c>
      <c r="F194" s="213">
        <v>0.5416666666666666</v>
      </c>
      <c r="G194" s="213">
        <f t="shared" si="139"/>
        <v>0.12499999999999994</v>
      </c>
      <c r="H194" s="213">
        <f t="shared" si="140"/>
      </c>
      <c r="I194" s="213">
        <f t="shared" si="141"/>
      </c>
      <c r="J194" s="210">
        <f t="shared" si="142"/>
      </c>
      <c r="K194" s="135">
        <f t="shared" si="143"/>
      </c>
      <c r="L194" s="210">
        <f t="shared" si="152"/>
        <v>0.12499999999999994</v>
      </c>
      <c r="M194" s="135">
        <f t="shared" si="144"/>
        <v>2.9999999999999987</v>
      </c>
      <c r="N194" s="271" t="str">
        <f>IF(AND(K194="",M194=""),"",IF(OR(SUM($O$183:$P$187,K$189:K194,M$189:M194)&lt;=25,AND(SUM($O$183:$P$187,K$188:K193,M$188:M193)&lt;=25,SUM($O$183:$P$187,K$189:K194,M$189:M194)&gt;25)),"O","N"))</f>
        <v>N</v>
      </c>
      <c r="O194" s="300">
        <f>IF(OR(N194="N",N194=""),"",IF(K194="","",IF((25-SUM(O$183:O193,P$183:P193))&gt;K194,K194,25-SUM(O$183:O193,P$183:P193))))</f>
      </c>
      <c r="P194" s="135">
        <f>IF(OR(N194="N",N194=""),"",IF(M194="","",IF(25-SUM($O$183:O194,$P$183:P193)&gt;M194,M194,25-SUM($O$183:O194,$P$183:P193))))</f>
      </c>
      <c r="Q194" s="137" t="str">
        <f t="shared" si="145"/>
        <v>O</v>
      </c>
      <c r="R194" s="135">
        <f t="shared" si="146"/>
      </c>
      <c r="S194" s="141">
        <f t="shared" si="147"/>
        <v>2.9999999999999987</v>
      </c>
      <c r="T194" s="31">
        <f>IF(N194="O",MAX(T$181:T193)+1,"")</f>
      </c>
      <c r="U194" s="31">
        <f>IF(Q194="O",MAX(U$181:U193)+1,"")</f>
        <v>4</v>
      </c>
      <c r="V194" s="106">
        <f>IF(W194&lt;&gt;"",VLOOKUP($B$20,'Grille IND'!$A$5:$F$653,3,FALSE),"")</f>
      </c>
      <c r="W194" s="106">
        <f t="shared" si="148"/>
      </c>
      <c r="X194" s="107">
        <f>IF(Y194&lt;&gt;"",VLOOKUP($B$20,'Grille IND'!$A$5:$F$653,4,FALSE),"")</f>
      </c>
      <c r="Y194" s="107">
        <f t="shared" si="149"/>
      </c>
      <c r="Z194" s="108">
        <f>IF(AA194&lt;&gt;"",VLOOKUP($B$20,'Grille IND'!$A$5:$F$653,5,FALSE),"")</f>
      </c>
      <c r="AA194" s="108">
        <f t="shared" si="150"/>
      </c>
      <c r="AB194" s="109">
        <f>IF(AC194&lt;&gt;"",VLOOKUP($B$20,'Grille IND'!$A$5:$F$653,6,FALSE),"")</f>
      </c>
      <c r="AC194" s="109">
        <f t="shared" si="151"/>
      </c>
      <c r="AO194" s="105">
        <f t="shared" si="100"/>
      </c>
    </row>
    <row r="195" spans="1:41" ht="15">
      <c r="A195" s="348"/>
      <c r="B195" s="139"/>
      <c r="C195" s="334"/>
      <c r="D195" s="133"/>
      <c r="E195" s="210"/>
      <c r="F195" s="213"/>
      <c r="G195" s="213">
        <f t="shared" si="139"/>
      </c>
      <c r="H195" s="213">
        <f t="shared" si="140"/>
      </c>
      <c r="I195" s="213">
        <f t="shared" si="141"/>
      </c>
      <c r="J195" s="210">
        <f t="shared" si="142"/>
      </c>
      <c r="K195" s="135">
        <f t="shared" si="143"/>
      </c>
      <c r="L195" s="210">
        <f t="shared" si="152"/>
      </c>
      <c r="M195" s="135">
        <f t="shared" si="144"/>
      </c>
      <c r="N195" s="271">
        <f>IF(AND(K195="",M195=""),"",IF(OR(SUM($O$183:$P$187,K$189:K195,M$189:M195)&lt;=25,AND(SUM($O$183:$P$187,K$188:K194,M$188:M194)&lt;=25,SUM($O$183:$P$187,K$189:K195,M$189:M195)&gt;25)),"O","N"))</f>
      </c>
      <c r="O195" s="300">
        <f>IF(OR(N195="N",N195=""),"",IF(K195="","",IF((25-SUM(O$183:O194,P$183:P194))&gt;K195,K195,25-SUM(O$183:O194,P$183:P194))))</f>
      </c>
      <c r="P195" s="169">
        <f>IF(OR(N195="N",N195=""),"",IF(M195="","",IF(25-SUM($O$183:O195,$P$183:P194)&gt;M195,M195,25-SUM($O$183:O195,$P$183:P194))))</f>
      </c>
      <c r="Q195" s="137">
        <f t="shared" si="145"/>
      </c>
      <c r="R195" s="135">
        <f t="shared" si="146"/>
      </c>
      <c r="S195" s="141">
        <f t="shared" si="147"/>
      </c>
      <c r="T195" s="31">
        <f>IF(N195="O",MAX(T$181:T194)+1,"")</f>
      </c>
      <c r="U195" s="31">
        <f>IF(Q195="O",MAX(U$181:U194)+1,"")</f>
      </c>
      <c r="V195" s="106">
        <f>IF(W195&lt;&gt;"",VLOOKUP($B$20,'Grille IND'!$A$5:$F$653,3,FALSE),"")</f>
      </c>
      <c r="W195" s="106">
        <f t="shared" si="148"/>
      </c>
      <c r="X195" s="107">
        <f>IF(Y195&lt;&gt;"",VLOOKUP($B$20,'Grille IND'!$A$5:$F$653,4,FALSE),"")</f>
      </c>
      <c r="Y195" s="107">
        <f t="shared" si="149"/>
      </c>
      <c r="Z195" s="108">
        <f>IF(AA195&lt;&gt;"",VLOOKUP($B$20,'Grille IND'!$A$5:$F$653,5,FALSE),"")</f>
      </c>
      <c r="AA195" s="108">
        <f t="shared" si="150"/>
      </c>
      <c r="AB195" s="109">
        <f>IF(AC195&lt;&gt;"",VLOOKUP($B$20,'Grille IND'!$A$5:$F$653,6,FALSE),"")</f>
      </c>
      <c r="AC195" s="109">
        <f t="shared" si="151"/>
      </c>
      <c r="AO195" s="105">
        <f aca="true" t="shared" si="153" ref="AO195:AO258">IF(D195&lt;&gt;"",IF(AND(ISERROR(VLOOKUP(D195,Fériés,1,0)),WEEKDAY(D195,2)&lt;=6),"",IF(WEEKDAY(D195,2)&gt;6,"D",IF(VLOOKUP(D195,Fériés,1,0),"F",""))),"")</f>
      </c>
    </row>
    <row r="196" spans="1:41" ht="15">
      <c r="A196" s="348"/>
      <c r="B196" s="139"/>
      <c r="C196" s="334"/>
      <c r="D196" s="133"/>
      <c r="E196" s="210"/>
      <c r="F196" s="213"/>
      <c r="G196" s="213">
        <f t="shared" si="139"/>
      </c>
      <c r="H196" s="213">
        <f t="shared" si="140"/>
      </c>
      <c r="I196" s="213">
        <f t="shared" si="141"/>
      </c>
      <c r="J196" s="210">
        <f t="shared" si="142"/>
      </c>
      <c r="K196" s="135">
        <f t="shared" si="143"/>
      </c>
      <c r="L196" s="210">
        <f t="shared" si="152"/>
      </c>
      <c r="M196" s="135">
        <f t="shared" si="144"/>
      </c>
      <c r="N196" s="271">
        <f>IF(AND(K196="",M196=""),"",IF(OR(SUM($O$68:$P$72,K$74:K196,M$74:M196)&lt;=25,AND(SUM($O$68:$P$72,K$73:K195,M$73:M195)&lt;=25,SUM($O$68:$P$72,K$74:K196,M$74:M196)&gt;25)),"O","N"))</f>
      </c>
      <c r="O196" s="300">
        <f>IF(OR(N196="N",N196=""),"",IF(K196="","",IF((25-SUM(O$183:O195,P$183:P195))&gt;K196,K196,25-SUM(O$183:O195,P$183:P195))))</f>
      </c>
      <c r="P196" s="169">
        <f>IF(OR(N196="N",N196=""),"",IF(M196="","",IF(25-SUM($O$183:O196,$P$183:P195)&gt;M196,M196,25-SUM($O$183:O196,$P$183:P195))))</f>
      </c>
      <c r="Q196" s="137">
        <f t="shared" si="145"/>
      </c>
      <c r="R196" s="135">
        <f t="shared" si="146"/>
      </c>
      <c r="S196" s="141">
        <f t="shared" si="147"/>
      </c>
      <c r="T196" s="31">
        <f>IF(N196="O",MAX(T$181:T195)+1,"")</f>
      </c>
      <c r="U196" s="31">
        <f>IF(Q196="O",MAX(U$181:U195)+1,"")</f>
      </c>
      <c r="V196" s="106">
        <f>IF(W196&lt;&gt;"",VLOOKUP($B$20,'Grille IND'!$A$5:$F$653,3,FALSE),"")</f>
      </c>
      <c r="W196" s="106">
        <f t="shared" si="148"/>
      </c>
      <c r="X196" s="107">
        <f>IF(Y196&lt;&gt;"",VLOOKUP($B$20,'Grille IND'!$A$5:$F$653,4,FALSE),"")</f>
      </c>
      <c r="Y196" s="107">
        <f t="shared" si="149"/>
      </c>
      <c r="Z196" s="108">
        <f>IF(AA196&lt;&gt;"",VLOOKUP($B$20,'Grille IND'!$A$5:$F$653,5,FALSE),"")</f>
      </c>
      <c r="AA196" s="108">
        <f t="shared" si="150"/>
      </c>
      <c r="AB196" s="109">
        <f>IF(AC196&lt;&gt;"",VLOOKUP($B$20,'Grille IND'!$A$5:$F$653,6,FALSE),"")</f>
      </c>
      <c r="AC196" s="109">
        <f t="shared" si="151"/>
      </c>
      <c r="AO196" s="105">
        <f t="shared" si="153"/>
      </c>
    </row>
    <row r="197" spans="1:41" ht="15">
      <c r="A197" s="348"/>
      <c r="B197" s="139"/>
      <c r="C197" s="334"/>
      <c r="D197" s="133"/>
      <c r="E197" s="210"/>
      <c r="F197" s="213"/>
      <c r="G197" s="213">
        <f t="shared" si="139"/>
      </c>
      <c r="H197" s="213">
        <f t="shared" si="140"/>
      </c>
      <c r="I197" s="213">
        <f t="shared" si="141"/>
      </c>
      <c r="J197" s="210">
        <f t="shared" si="142"/>
      </c>
      <c r="K197" s="135">
        <f t="shared" si="143"/>
      </c>
      <c r="L197" s="210">
        <f t="shared" si="152"/>
      </c>
      <c r="M197" s="135">
        <f t="shared" si="144"/>
      </c>
      <c r="N197" s="271">
        <f>IF(AND(K197="",M197=""),"",IF(OR(SUM($O$68:$P$72,K$74:K197,M$74:M197)&lt;=25,AND(SUM($O$68:$P$72,K$73:K196,M$73:M196)&lt;=25,SUM($O$68:$P$72,K$74:K197,M$74:M197)&gt;25)),"O","N"))</f>
      </c>
      <c r="O197" s="300">
        <f>IF(OR(N197="N",N197=""),"",IF(K197="","",IF((25-SUM(O$183:O196,P$183:P196))&gt;K197,K197,25-SUM(O$183:O196,P$183:P196))))</f>
      </c>
      <c r="P197" s="169">
        <f>IF(OR(N197="N",N197=""),"",IF(M197="","",IF(25-SUM($O$183:O197,$P$183:P196)&gt;M197,M197,25-SUM($O$183:O197,$P$183:P196))))</f>
      </c>
      <c r="Q197" s="137">
        <f t="shared" si="145"/>
      </c>
      <c r="R197" s="135">
        <f t="shared" si="146"/>
      </c>
      <c r="S197" s="141">
        <f t="shared" si="147"/>
      </c>
      <c r="T197" s="31">
        <f>IF(N197="O",MAX(T$181:T196)+1,"")</f>
      </c>
      <c r="U197" s="31">
        <f>IF(Q197="O",MAX(U$181:U196)+1,"")</f>
      </c>
      <c r="V197" s="106">
        <f>IF(W197&lt;&gt;"",VLOOKUP($B$20,'Grille IND'!$A$5:$F$653,3,FALSE),"")</f>
      </c>
      <c r="W197" s="106">
        <f t="shared" si="148"/>
      </c>
      <c r="X197" s="107">
        <f>IF(Y197&lt;&gt;"",VLOOKUP($B$20,'Grille IND'!$A$5:$F$653,4,FALSE),"")</f>
      </c>
      <c r="Y197" s="107">
        <f t="shared" si="149"/>
      </c>
      <c r="Z197" s="108">
        <f>IF(AA197&lt;&gt;"",VLOOKUP($B$20,'Grille IND'!$A$5:$F$653,5,FALSE),"")</f>
      </c>
      <c r="AA197" s="108">
        <f t="shared" si="150"/>
      </c>
      <c r="AB197" s="109">
        <f>IF(AC197&lt;&gt;"",VLOOKUP($B$20,'Grille IND'!$A$5:$F$653,6,FALSE),"")</f>
      </c>
      <c r="AC197" s="109">
        <f t="shared" si="151"/>
      </c>
      <c r="AO197" s="105">
        <f t="shared" si="153"/>
      </c>
    </row>
    <row r="198" spans="1:41" ht="15">
      <c r="A198" s="348"/>
      <c r="B198" s="139"/>
      <c r="C198" s="334"/>
      <c r="D198" s="133"/>
      <c r="E198" s="210"/>
      <c r="F198" s="213"/>
      <c r="G198" s="213">
        <f t="shared" si="139"/>
      </c>
      <c r="H198" s="213">
        <f t="shared" si="140"/>
      </c>
      <c r="I198" s="213">
        <f t="shared" si="141"/>
      </c>
      <c r="J198" s="210">
        <f t="shared" si="142"/>
      </c>
      <c r="K198" s="135">
        <f t="shared" si="143"/>
      </c>
      <c r="L198" s="210">
        <f t="shared" si="152"/>
      </c>
      <c r="M198" s="135">
        <f t="shared" si="144"/>
      </c>
      <c r="N198" s="271">
        <f>IF(AND(K198="",M198=""),"",IF(OR(SUM($O$68:$P$72,K$74:K198,M$74:M198)&lt;=25,AND(SUM($O$68:$P$72,K$73:K197,M$73:M197)&lt;=25,SUM($O$68:$P$72,K$74:K198,M$74:M198)&gt;25)),"O","N"))</f>
      </c>
      <c r="O198" s="300">
        <f>IF(OR(N198="N",N198=""),"",IF(K198="","",IF((25-SUM(O$183:O197,P$183:P197))&gt;K198,K198,25-SUM(O$183:O197,P$183:P197))))</f>
      </c>
      <c r="P198" s="169">
        <f>IF(OR(N198="N",N198=""),"",IF(M198="","",IF(25-SUM($O$183:O198,$P$183:P197)&gt;M198,M198,25-SUM($O$183:O198,$P$183:P197))))</f>
      </c>
      <c r="Q198" s="137">
        <f t="shared" si="145"/>
      </c>
      <c r="R198" s="135">
        <f t="shared" si="146"/>
      </c>
      <c r="S198" s="141">
        <f t="shared" si="147"/>
      </c>
      <c r="T198" s="31">
        <f>IF(N198="O",MAX(T$181:T197)+1,"")</f>
      </c>
      <c r="U198" s="31">
        <f>IF(Q198="O",MAX(U$181:U197)+1,"")</f>
      </c>
      <c r="V198" s="106">
        <f>IF(W198&lt;&gt;"",VLOOKUP($B$20,'Grille IND'!$A$5:$F$653,3,FALSE),"")</f>
      </c>
      <c r="W198" s="106">
        <f t="shared" si="148"/>
      </c>
      <c r="X198" s="107">
        <f>IF(Y198&lt;&gt;"",VLOOKUP($B$20,'Grille IND'!$A$5:$F$653,4,FALSE),"")</f>
      </c>
      <c r="Y198" s="107">
        <f t="shared" si="149"/>
      </c>
      <c r="Z198" s="108">
        <f>IF(AA198&lt;&gt;"",VLOOKUP($B$20,'Grille IND'!$A$5:$F$653,5,FALSE),"")</f>
      </c>
      <c r="AA198" s="108">
        <f t="shared" si="150"/>
      </c>
      <c r="AB198" s="109">
        <f>IF(AC198&lt;&gt;"",VLOOKUP($B$20,'Grille IND'!$A$5:$F$653,6,FALSE),"")</f>
      </c>
      <c r="AC198" s="109">
        <f t="shared" si="151"/>
      </c>
      <c r="AO198" s="105">
        <f t="shared" si="153"/>
      </c>
    </row>
    <row r="199" spans="1:41" ht="15">
      <c r="A199" s="348"/>
      <c r="B199" s="139"/>
      <c r="C199" s="334"/>
      <c r="D199" s="133"/>
      <c r="E199" s="210"/>
      <c r="F199" s="213"/>
      <c r="G199" s="213">
        <f t="shared" si="139"/>
      </c>
      <c r="H199" s="213">
        <f t="shared" si="140"/>
      </c>
      <c r="I199" s="213">
        <f t="shared" si="141"/>
      </c>
      <c r="J199" s="210">
        <f t="shared" si="142"/>
      </c>
      <c r="K199" s="135">
        <f t="shared" si="143"/>
      </c>
      <c r="L199" s="210">
        <f t="shared" si="152"/>
      </c>
      <c r="M199" s="135">
        <f t="shared" si="144"/>
      </c>
      <c r="N199" s="271">
        <f>IF(AND(K199="",M199=""),"",IF(OR(SUM($O$68:$P$72,K$74:K199,M$74:M199)&lt;=25,AND(SUM($O$68:$P$72,K$73:K198,M$73:M198)&lt;=25,SUM($O$68:$P$72,K$74:K199,M$74:M199)&gt;25)),"O","N"))</f>
      </c>
      <c r="O199" s="300">
        <f>IF(OR(N199="N",N199=""),"",IF(K199="","",IF((25-SUM(O$183:O198,P$183:P198))&gt;K199,K199,25-SUM(O$183:O198,P$183:P198))))</f>
      </c>
      <c r="P199" s="169">
        <f>IF(OR(N199="N",N199=""),"",IF(M199="","",IF(25-SUM($O$183:O199,$P$183:P198)&gt;M199,M199,25-SUM($O$183:O199,$P$183:P198))))</f>
      </c>
      <c r="Q199" s="137">
        <f t="shared" si="145"/>
      </c>
      <c r="R199" s="135">
        <f t="shared" si="146"/>
      </c>
      <c r="S199" s="141">
        <f t="shared" si="147"/>
      </c>
      <c r="T199" s="31">
        <f>IF(N199="O",MAX(T$181:T198)+1,"")</f>
      </c>
      <c r="U199" s="31">
        <f>IF(Q199="O",MAX(U$181:U198)+1,"")</f>
      </c>
      <c r="V199" s="106">
        <f>IF(W199&lt;&gt;"",VLOOKUP($B$20,'Grille IND'!$A$5:$F$653,3,FALSE),"")</f>
      </c>
      <c r="W199" s="106">
        <f t="shared" si="148"/>
      </c>
      <c r="X199" s="107">
        <f>IF(Y199&lt;&gt;"",VLOOKUP($B$20,'Grille IND'!$A$5:$F$653,4,FALSE),"")</f>
      </c>
      <c r="Y199" s="107">
        <f t="shared" si="149"/>
      </c>
      <c r="Z199" s="108">
        <f>IF(AA199&lt;&gt;"",VLOOKUP($B$20,'Grille IND'!$A$5:$F$653,5,FALSE),"")</f>
      </c>
      <c r="AA199" s="108">
        <f t="shared" si="150"/>
      </c>
      <c r="AB199" s="109">
        <f>IF(AC199&lt;&gt;"",VLOOKUP($B$20,'Grille IND'!$A$5:$F$653,6,FALSE),"")</f>
      </c>
      <c r="AC199" s="109">
        <f t="shared" si="151"/>
      </c>
      <c r="AO199" s="105">
        <f t="shared" si="153"/>
      </c>
    </row>
    <row r="200" spans="1:41" ht="15">
      <c r="A200" s="348"/>
      <c r="B200" s="139"/>
      <c r="C200" s="334"/>
      <c r="D200" s="133"/>
      <c r="E200" s="210"/>
      <c r="F200" s="213"/>
      <c r="G200" s="213">
        <f t="shared" si="139"/>
      </c>
      <c r="H200" s="213">
        <f t="shared" si="140"/>
      </c>
      <c r="I200" s="213">
        <f t="shared" si="141"/>
      </c>
      <c r="J200" s="210">
        <f t="shared" si="142"/>
      </c>
      <c r="K200" s="135">
        <f t="shared" si="143"/>
      </c>
      <c r="L200" s="210">
        <f t="shared" si="152"/>
      </c>
      <c r="M200" s="135">
        <f t="shared" si="144"/>
      </c>
      <c r="N200" s="271">
        <f>IF(AND(K200="",M200=""),"",IF(OR(SUM($O$68:$P$72,K$74:K200,M$74:M200)&lt;=25,AND(SUM($O$68:$P$72,K$73:K199,M$73:M199)&lt;=25,SUM($O$68:$P$72,K$74:K200,M$74:M200)&gt;25)),"O","N"))</f>
      </c>
      <c r="O200" s="300">
        <f>IF(OR(N200="N",N200=""),"",IF(K200="","",IF((25-SUM(O$183:O199,P$183:P199))&gt;K200,K200,25-SUM(O$183:O199,P$183:P199))))</f>
      </c>
      <c r="P200" s="169">
        <f>IF(OR(N200="N",N200=""),"",IF(M200="","",IF(25-SUM($O$183:O200,$P$183:P199)&gt;M200,M200,25-SUM($O$183:O200,$P$183:P199))))</f>
      </c>
      <c r="Q200" s="137">
        <f t="shared" si="145"/>
      </c>
      <c r="R200" s="135">
        <f t="shared" si="146"/>
      </c>
      <c r="S200" s="141">
        <f t="shared" si="147"/>
      </c>
      <c r="T200" s="31">
        <f>IF(N200="O",MAX(T$181:T199)+1,"")</f>
      </c>
      <c r="U200" s="31">
        <f>IF(Q200="O",MAX(U$181:U199)+1,"")</f>
      </c>
      <c r="V200" s="106">
        <f>IF(W200&lt;&gt;"",VLOOKUP($B$20,'Grille IND'!$A$5:$F$653,3,FALSE),"")</f>
      </c>
      <c r="W200" s="106">
        <f t="shared" si="148"/>
      </c>
      <c r="X200" s="107">
        <f>IF(Y200&lt;&gt;"",VLOOKUP($B$20,'Grille IND'!$A$5:$F$653,4,FALSE),"")</f>
      </c>
      <c r="Y200" s="107">
        <f t="shared" si="149"/>
      </c>
      <c r="Z200" s="108">
        <f>IF(AA200&lt;&gt;"",VLOOKUP($B$20,'Grille IND'!$A$5:$F$653,5,FALSE),"")</f>
      </c>
      <c r="AA200" s="108">
        <f t="shared" si="150"/>
      </c>
      <c r="AB200" s="109">
        <f>IF(AC200&lt;&gt;"",VLOOKUP($B$20,'Grille IND'!$A$5:$F$653,6,FALSE),"")</f>
      </c>
      <c r="AC200" s="109">
        <f t="shared" si="151"/>
      </c>
      <c r="AO200" s="105">
        <f t="shared" si="153"/>
      </c>
    </row>
    <row r="201" spans="1:41" ht="15">
      <c r="A201" s="348"/>
      <c r="B201" s="139"/>
      <c r="C201" s="334"/>
      <c r="D201" s="133"/>
      <c r="E201" s="210"/>
      <c r="F201" s="213"/>
      <c r="G201" s="213">
        <f t="shared" si="139"/>
      </c>
      <c r="H201" s="213">
        <f t="shared" si="140"/>
      </c>
      <c r="I201" s="213">
        <f t="shared" si="141"/>
      </c>
      <c r="J201" s="210">
        <f t="shared" si="142"/>
      </c>
      <c r="K201" s="135">
        <f t="shared" si="143"/>
      </c>
      <c r="L201" s="210">
        <f t="shared" si="152"/>
      </c>
      <c r="M201" s="135">
        <f t="shared" si="144"/>
      </c>
      <c r="N201" s="271">
        <f>IF(AND(K201="",M201=""),"",IF(OR(SUM($O$68:$P$72,K$74:K201,M$74:M201)&lt;=25,AND(SUM($O$68:$P$72,K$73:K200,M$73:M200)&lt;=25,SUM($O$68:$P$72,K$74:K201,M$74:M201)&gt;25)),"O","N"))</f>
      </c>
      <c r="O201" s="300">
        <f>IF(OR(N201="N",N201=""),"",IF(K201="","",IF((25-SUM(O$183:O200,P$183:P200))&gt;K201,K201,25-SUM(O$183:O200,P$183:P200))))</f>
      </c>
      <c r="P201" s="169">
        <f>IF(OR(N201="N",N201=""),"",IF(M201="","",IF(25-SUM($O$183:O201,$P$183:P200)&gt;M201,M201,25-SUM($O$183:O201,$P$183:P200))))</f>
      </c>
      <c r="Q201" s="137">
        <f t="shared" si="145"/>
      </c>
      <c r="R201" s="135">
        <f t="shared" si="146"/>
      </c>
      <c r="S201" s="141">
        <f t="shared" si="147"/>
      </c>
      <c r="T201" s="31">
        <f>IF(N201="O",MAX(T$181:T200)+1,"")</f>
      </c>
      <c r="U201" s="31">
        <f>IF(Q201="O",MAX(U$181:U200)+1,"")</f>
      </c>
      <c r="V201" s="106">
        <f>IF(W201&lt;&gt;"",VLOOKUP($B$20,'Grille IND'!$A$5:$F$653,3,FALSE),"")</f>
      </c>
      <c r="W201" s="106">
        <f t="shared" si="148"/>
      </c>
      <c r="X201" s="107">
        <f>IF(Y201&lt;&gt;"",VLOOKUP($B$20,'Grille IND'!$A$5:$F$653,4,FALSE),"")</f>
      </c>
      <c r="Y201" s="107">
        <f t="shared" si="149"/>
      </c>
      <c r="Z201" s="108">
        <f>IF(AA201&lt;&gt;"",VLOOKUP($B$20,'Grille IND'!$A$5:$F$653,5,FALSE),"")</f>
      </c>
      <c r="AA201" s="108">
        <f t="shared" si="150"/>
      </c>
      <c r="AB201" s="109">
        <f>IF(AC201&lt;&gt;"",VLOOKUP($B$20,'Grille IND'!$A$5:$F$653,6,FALSE),"")</f>
      </c>
      <c r="AC201" s="109">
        <f t="shared" si="151"/>
      </c>
      <c r="AO201" s="105">
        <f t="shared" si="153"/>
      </c>
    </row>
    <row r="202" spans="1:41" ht="18" thickBot="1">
      <c r="A202" s="349"/>
      <c r="B202" s="183"/>
      <c r="C202" s="334"/>
      <c r="D202" s="202"/>
      <c r="E202" s="211"/>
      <c r="F202" s="231"/>
      <c r="G202" s="231"/>
      <c r="H202" s="351" t="s">
        <v>29</v>
      </c>
      <c r="I202" s="351"/>
      <c r="J202" s="211">
        <f>SUM(J189:J198)</f>
        <v>0.1041666666666668</v>
      </c>
      <c r="K202" s="165">
        <f>SUM(K183:K201)</f>
        <v>2.750000000000005</v>
      </c>
      <c r="L202" s="211">
        <f>SUM(L189:L198)</f>
        <v>0.9756944444444444</v>
      </c>
      <c r="M202" s="165">
        <f>SUM(M183:M201)</f>
        <v>34</v>
      </c>
      <c r="N202" s="166"/>
      <c r="O202" s="336">
        <f>SUM(O187:P201)</f>
        <v>15.733333333333338</v>
      </c>
      <c r="P202" s="336"/>
      <c r="Q202" s="177"/>
      <c r="R202" s="257">
        <f>SUM(R187:R201)</f>
        <v>1.0000000000000004</v>
      </c>
      <c r="S202" s="257">
        <f>SUM(S187:S201)</f>
        <v>9.183333333333328</v>
      </c>
      <c r="V202" s="239"/>
      <c r="W202" s="239">
        <f>SUM(W183:W201)</f>
        <v>16.400000000000002</v>
      </c>
      <c r="X202" s="240"/>
      <c r="Y202" s="240">
        <f>SUM(Y183:Y201)</f>
        <v>0</v>
      </c>
      <c r="Z202" s="241"/>
      <c r="AA202" s="241">
        <f>SUM(AA183:AA201)</f>
        <v>6.84999999999999</v>
      </c>
      <c r="AB202" s="242"/>
      <c r="AC202" s="242">
        <f>SUM(AC183:AC201)</f>
        <v>1.7500000000000044</v>
      </c>
      <c r="AO202" s="105">
        <f t="shared" si="153"/>
      </c>
    </row>
    <row r="203" spans="1:41" ht="19.5" customHeight="1" thickBot="1">
      <c r="A203" s="184"/>
      <c r="B203" s="185"/>
      <c r="C203" s="185"/>
      <c r="D203" s="186"/>
      <c r="E203" s="223"/>
      <c r="F203" s="232"/>
      <c r="G203" s="232"/>
      <c r="H203" s="187"/>
      <c r="I203" s="187"/>
      <c r="J203" s="223"/>
      <c r="K203" s="188"/>
      <c r="L203" s="223"/>
      <c r="M203" s="188"/>
      <c r="N203" s="189"/>
      <c r="O203" s="189"/>
      <c r="P203" s="190"/>
      <c r="Q203" s="191"/>
      <c r="R203" s="191"/>
      <c r="S203" s="185"/>
      <c r="V203" s="239"/>
      <c r="W203" s="239">
        <f>SUMPRODUCT(V183:V201,W183:W201)</f>
        <v>260.92400000000004</v>
      </c>
      <c r="X203" s="240"/>
      <c r="Y203" s="240">
        <f>SUMPRODUCT(X183:X201,Y183:Y201)</f>
        <v>0</v>
      </c>
      <c r="Z203" s="241"/>
      <c r="AA203" s="241">
        <f>SUMPRODUCT(Z183:Z201,AA183:AA201)</f>
        <v>181.66199999999975</v>
      </c>
      <c r="AB203" s="242"/>
      <c r="AC203" s="242">
        <f>SUMPRODUCT(AB183:AB201,AC183:AC201)</f>
        <v>55.685000000000144</v>
      </c>
      <c r="AO203" s="105">
        <f t="shared" si="153"/>
      </c>
    </row>
    <row r="204" spans="1:41" ht="15">
      <c r="A204" s="347" t="s">
        <v>26</v>
      </c>
      <c r="B204" s="181">
        <f>VLOOKUP($B$1,INFOS!A:AU,39,FALSE)</f>
        <v>457</v>
      </c>
      <c r="C204" s="338" t="s">
        <v>31</v>
      </c>
      <c r="D204" s="405" t="s">
        <v>170</v>
      </c>
      <c r="E204" s="398"/>
      <c r="F204" s="398"/>
      <c r="G204" s="398"/>
      <c r="H204" s="398"/>
      <c r="I204" s="398"/>
      <c r="J204" s="398"/>
      <c r="K204" s="398"/>
      <c r="L204" s="398"/>
      <c r="M204" s="399"/>
      <c r="N204" s="339" t="s">
        <v>32</v>
      </c>
      <c r="O204" s="340"/>
      <c r="P204" s="340"/>
      <c r="Q204" s="341"/>
      <c r="R204" s="345">
        <f>R202</f>
        <v>1.0000000000000004</v>
      </c>
      <c r="S204" s="331">
        <f>S202</f>
        <v>9.183333333333328</v>
      </c>
      <c r="V204" s="34"/>
      <c r="X204" s="34"/>
      <c r="Y204" s="34"/>
      <c r="Z204" s="34"/>
      <c r="AA204" s="34"/>
      <c r="AB204" s="34"/>
      <c r="AC204" s="34"/>
      <c r="AO204" s="397"/>
    </row>
    <row r="205" spans="1:41" ht="15">
      <c r="A205" s="348"/>
      <c r="B205" s="182">
        <f>VLOOKUP($B$1,INFOS!A:AU,40,FALSE)</f>
        <v>1</v>
      </c>
      <c r="C205" s="338"/>
      <c r="D205" s="408"/>
      <c r="E205" s="408"/>
      <c r="F205" s="408"/>
      <c r="G205" s="408"/>
      <c r="H205" s="408"/>
      <c r="I205" s="408"/>
      <c r="J205" s="408"/>
      <c r="K205" s="408"/>
      <c r="L205" s="408"/>
      <c r="M205" s="409"/>
      <c r="N205" s="342"/>
      <c r="O205" s="343"/>
      <c r="P205" s="343"/>
      <c r="Q205" s="344"/>
      <c r="R205" s="346"/>
      <c r="S205" s="332"/>
      <c r="V205" s="34"/>
      <c r="X205" s="34"/>
      <c r="Y205" s="34"/>
      <c r="Z205" s="34"/>
      <c r="AA205" s="34"/>
      <c r="AB205" s="34"/>
      <c r="AC205" s="34"/>
      <c r="AO205" s="397"/>
    </row>
    <row r="206" spans="1:41" ht="15">
      <c r="A206" s="348"/>
      <c r="B206" s="350" t="str">
        <f>VLOOKUP($B$1,INFOS!A:AU,9,FALSE)</f>
        <v>Direction Générale des Services</v>
      </c>
      <c r="C206" s="338"/>
      <c r="D206" s="171">
        <f>IF(ROWS($D$206:D206)&lt;=MAX($U$183:$U$201),INDEX($D$183:$D$201,MATCH(ROWS($D$206:D206),$U$183:$U$201,0)),"")</f>
        <v>43110</v>
      </c>
      <c r="E206" s="209">
        <f aca="true" t="shared" si="154" ref="E206:M210">IF($D206&lt;&gt;"",_xlfn.IFERROR(VLOOKUP($D206,$D$189:$S$201,COLUMN(B$1),0),""),"")</f>
        <v>0.3506944444444444</v>
      </c>
      <c r="F206" s="209">
        <f t="shared" si="154"/>
        <v>0.5520833333333334</v>
      </c>
      <c r="G206" s="209">
        <f t="shared" si="154"/>
        <v>0.20138888888888895</v>
      </c>
      <c r="H206" s="209">
        <f t="shared" si="154"/>
      </c>
      <c r="I206" s="209">
        <f t="shared" si="154"/>
      </c>
      <c r="J206" s="209">
        <f t="shared" si="154"/>
      </c>
      <c r="K206" s="160">
        <f t="shared" si="154"/>
      </c>
      <c r="L206" s="209">
        <f t="shared" si="154"/>
        <v>0.20138888888888895</v>
      </c>
      <c r="M206" s="160">
        <f t="shared" si="154"/>
        <v>4.833333333333335</v>
      </c>
      <c r="N206" s="281" t="str">
        <f>IF(OR(O206&lt;&gt;"",P206&lt;&gt;""),"O","")</f>
        <v>O</v>
      </c>
      <c r="O206" s="274">
        <f aca="true" t="shared" si="155" ref="O206:P210">IF($D206&lt;&gt;"",_xlfn.IFERROR(VLOOKUP($D206,$D$189:$S$201,COLUMN(O$1),0),""),"")</f>
      </c>
      <c r="P206" s="274">
        <f t="shared" si="155"/>
        <v>0.43333333333332913</v>
      </c>
      <c r="Q206" s="282"/>
      <c r="R206" s="282"/>
      <c r="S206" s="276"/>
      <c r="T206" s="31">
        <f>IF(N206="O",MAX(T$204:T205)+1,"")</f>
        <v>1</v>
      </c>
      <c r="U206" s="31">
        <f>IF(Q206="O",MAX(U$204:U205)+1,"")</f>
      </c>
      <c r="V206" s="106">
        <f>IF(W206&lt;&gt;"",VLOOKUP($B$20,'Grille IND'!$A$5:$F$653,3,FALSE),"")</f>
        <v>15.91</v>
      </c>
      <c r="W206" s="106">
        <f>IF(T206="","",IF(OR(AO206="D",AO206="F"),"",IF(OR(AND(N206="O",Q206="",P206&lt;=14),AND(N206="O",Q206="O",P206&lt;=14)),P206,14)))</f>
        <v>0.43333333333332913</v>
      </c>
      <c r="X206" s="107">
        <f>IF(Y206&lt;&gt;"",VLOOKUP($B$20,'Grille IND'!$A$5:$F$653,4,FALSE),"")</f>
      </c>
      <c r="Y206" s="107">
        <f>IF(T206="","",IF(OR(AO206="D",AO206="F"),"",IF(OR(AND(N206="O",Q206="",P206&gt;14),AND(N206="O",Q206="O",P206&gt;14)),P206-14,"")))</f>
      </c>
      <c r="Z206" s="108">
        <f>IF(AA206&lt;&gt;"",VLOOKUP($B$20,'Grille IND'!$A$5:$F$653,5,FALSE),"")</f>
      </c>
      <c r="AA206" s="108">
        <f>IF(T206="","",IF(OR(AND(OR(AO206="D",AO206="F"),N206="O",Q206=""),AND(OR(AO206="D",AO206="F"),N206="O",Q206="O")),P206,""))</f>
      </c>
      <c r="AB206" s="109">
        <f>IF(AC206&lt;&gt;"",VLOOKUP($B$20,'Grille IND'!$A$5:$F$653,6,FALSE),"")</f>
      </c>
      <c r="AC206" s="109">
        <f>IF(T206="","",IF(O206="","",O206))</f>
      </c>
      <c r="AO206" s="105">
        <f t="shared" si="153"/>
      </c>
    </row>
    <row r="207" spans="1:41" ht="15">
      <c r="A207" s="348"/>
      <c r="B207" s="350"/>
      <c r="C207" s="338"/>
      <c r="D207" s="171">
        <f>IF(ROWS($D$206:D207)&lt;=MAX($U$183:$U$201),INDEX($D$183:$D$201,MATCH(ROWS($D$206:D207),$U$183:$U$201,0)),"")</f>
        <v>43115</v>
      </c>
      <c r="E207" s="209">
        <f t="shared" si="154"/>
        <v>0.25</v>
      </c>
      <c r="F207" s="209">
        <f t="shared" si="154"/>
        <v>0.4166666666666667</v>
      </c>
      <c r="G207" s="209">
        <f t="shared" si="154"/>
        <v>0.16666666666666669</v>
      </c>
      <c r="H207" s="209">
        <f t="shared" si="154"/>
        <v>0.041666666666666685</v>
      </c>
      <c r="I207" s="209">
        <f t="shared" si="154"/>
      </c>
      <c r="J207" s="209">
        <f t="shared" si="154"/>
        <v>0.041666666666666685</v>
      </c>
      <c r="K207" s="160">
        <f t="shared" si="154"/>
        <v>1.0000000000000004</v>
      </c>
      <c r="L207" s="209">
        <f t="shared" si="154"/>
        <v>0.125</v>
      </c>
      <c r="M207" s="160">
        <f t="shared" si="154"/>
        <v>3</v>
      </c>
      <c r="N207" s="283" t="str">
        <f>IF(OR(O207&lt;&gt;"",P207&lt;&gt;""),"O","")</f>
        <v>O</v>
      </c>
      <c r="O207" s="284">
        <f t="shared" si="155"/>
        <v>1.0000000000000004</v>
      </c>
      <c r="P207" s="279">
        <f t="shared" si="155"/>
        <v>3</v>
      </c>
      <c r="Q207" s="285"/>
      <c r="R207" s="285"/>
      <c r="S207" s="280"/>
      <c r="T207" s="31">
        <f>IF(N207="O",MAX(T$204:T206)+1,"")</f>
        <v>2</v>
      </c>
      <c r="U207" s="31">
        <f>IF(Q207="O",MAX(U$204:U206)+1,"")</f>
      </c>
      <c r="V207" s="106">
        <f>IF(W207&lt;&gt;"",VLOOKUP($B$20,'Grille IND'!$A$5:$F$653,3,FALSE),"")</f>
        <v>15.91</v>
      </c>
      <c r="W207" s="106">
        <f>IF(T207="","",IF(OR(AO207="D",AO207="F"),"",IF(OR(AND(N207="O",Q207="",P207&lt;=14),AND(N207="O",Q207="O",P207&lt;=14)),P207,14)))</f>
        <v>3</v>
      </c>
      <c r="X207" s="107">
        <f>IF(Y207&lt;&gt;"",VLOOKUP($B$20,'Grille IND'!$A$5:$F$653,4,FALSE),"")</f>
      </c>
      <c r="Y207" s="107">
        <f>IF(T207="","",IF(OR(AO207="D",AO207="F"),"",IF(OR(AND(N207="O",Q207="",P207&gt;14),AND(N207="O",Q207="O",P207&gt;14)),P207-14,"")))</f>
      </c>
      <c r="Z207" s="108">
        <f>IF(AA207&lt;&gt;"",VLOOKUP($B$20,'Grille IND'!$A$5:$F$653,5,FALSE),"")</f>
      </c>
      <c r="AA207" s="108">
        <f>IF(T207="","",IF(OR(AND(OR(AO207="D",AO207="F"),N207="O",Q207=""),AND(OR(AO207="D",AO207="F"),N207="O",Q207="O")),P207,""))</f>
      </c>
      <c r="AB207" s="109">
        <f>IF(AC207&lt;&gt;"",VLOOKUP($B$20,'Grille IND'!$A$5:$F$653,6,FALSE),"")</f>
        <v>31.82</v>
      </c>
      <c r="AC207" s="109">
        <f>IF(T207="","",IF(O207="","",O207))</f>
        <v>1.0000000000000004</v>
      </c>
      <c r="AO207" s="105">
        <f t="shared" si="153"/>
      </c>
    </row>
    <row r="208" spans="1:41" ht="15">
      <c r="A208" s="348"/>
      <c r="B208" s="139"/>
      <c r="C208" s="338"/>
      <c r="D208" s="171">
        <f>IF(ROWS($D$206:D208)&lt;=MAX($U$183:$U$201),INDEX($D$183:$D$201,MATCH(ROWS($D$206:D208),$U$183:$U$201,0)),"")</f>
        <v>43121</v>
      </c>
      <c r="E208" s="209">
        <f t="shared" si="154"/>
        <v>0.7916666666666666</v>
      </c>
      <c r="F208" s="209">
        <f t="shared" si="154"/>
        <v>0.90625</v>
      </c>
      <c r="G208" s="209">
        <f t="shared" si="154"/>
        <v>0.11458333333333337</v>
      </c>
      <c r="H208" s="209">
        <f t="shared" si="154"/>
      </c>
      <c r="I208" s="209">
        <f t="shared" si="154"/>
      </c>
      <c r="J208" s="209">
        <f t="shared" si="154"/>
      </c>
      <c r="K208" s="160">
        <f t="shared" si="154"/>
      </c>
      <c r="L208" s="209">
        <f t="shared" si="154"/>
        <v>0.11458333333333337</v>
      </c>
      <c r="M208" s="160">
        <f t="shared" si="154"/>
        <v>2.750000000000001</v>
      </c>
      <c r="N208" s="283" t="str">
        <f>IF(OR(O208&lt;&gt;"",P208&lt;&gt;""),"O","")</f>
        <v>O</v>
      </c>
      <c r="O208" s="284">
        <f t="shared" si="155"/>
      </c>
      <c r="P208" s="279">
        <f t="shared" si="155"/>
        <v>2.750000000000001</v>
      </c>
      <c r="Q208" s="285"/>
      <c r="R208" s="285"/>
      <c r="S208" s="280"/>
      <c r="T208" s="31">
        <f>IF(N208="O",MAX(T$204:T207)+1,"")</f>
        <v>3</v>
      </c>
      <c r="U208" s="31">
        <f>IF(Q208="O",MAX(U$204:U207)+1,"")</f>
      </c>
      <c r="V208" s="106">
        <f>IF(W208&lt;&gt;"",VLOOKUP($B$20,'Grille IND'!$A$5:$F$653,3,FALSE),"")</f>
      </c>
      <c r="W208" s="106">
        <f>IF(T208="","",IF(OR(AO208="D",AO208="F"),"",IF(OR(AND(N208="O",Q208="",P208&lt;=14),AND(N208="O",Q208="O",P208&lt;=14)),P208,14)))</f>
      </c>
      <c r="X208" s="107">
        <f>IF(Y208&lt;&gt;"",VLOOKUP($B$20,'Grille IND'!$A$5:$F$653,4,FALSE),"")</f>
      </c>
      <c r="Y208" s="107">
        <f>IF(T208="","",IF(OR(AO208="D",AO208="F"),"",IF(OR(AND(N208="O",Q208="",P208&gt;14),AND(N208="O",Q208="O",P208&gt;14)),P208-14,"")))</f>
      </c>
      <c r="Z208" s="108">
        <f>IF(AA208&lt;&gt;"",VLOOKUP($B$20,'Grille IND'!$A$5:$F$653,5,FALSE),"")</f>
        <v>26.52</v>
      </c>
      <c r="AA208" s="108">
        <f>IF(T208="","",IF(OR(AND(OR(AO208="D",AO208="F"),N208="O",Q208=""),AND(OR(AO208="D",AO208="F"),N208="O",Q208="O")),P208,""))</f>
        <v>2.750000000000001</v>
      </c>
      <c r="AB208" s="109">
        <f>IF(AC208&lt;&gt;"",VLOOKUP($B$20,'Grille IND'!$A$5:$F$653,6,FALSE),"")</f>
      </c>
      <c r="AC208" s="109">
        <f>IF(T208="","",IF(O208="","",O208))</f>
      </c>
      <c r="AO208" s="105" t="str">
        <f t="shared" si="153"/>
        <v>D</v>
      </c>
    </row>
    <row r="209" spans="1:41" ht="15">
      <c r="A209" s="348"/>
      <c r="B209" s="139"/>
      <c r="C209" s="338"/>
      <c r="D209" s="171">
        <f>IF(ROWS($D$206:D209)&lt;=MAX($U$183:$U$201),INDEX($D$183:$D$201,MATCH(ROWS($D$206:D209),$U$183:$U$201,0)),"")</f>
        <v>43125</v>
      </c>
      <c r="E209" s="209">
        <f t="shared" si="154"/>
        <v>0.4166666666666667</v>
      </c>
      <c r="F209" s="209">
        <f t="shared" si="154"/>
        <v>0.5416666666666666</v>
      </c>
      <c r="G209" s="209">
        <f t="shared" si="154"/>
        <v>0.12499999999999994</v>
      </c>
      <c r="H209" s="209">
        <f t="shared" si="154"/>
      </c>
      <c r="I209" s="209">
        <f t="shared" si="154"/>
      </c>
      <c r="J209" s="209">
        <f t="shared" si="154"/>
      </c>
      <c r="K209" s="160">
        <f t="shared" si="154"/>
      </c>
      <c r="L209" s="209">
        <f t="shared" si="154"/>
        <v>0.12499999999999994</v>
      </c>
      <c r="M209" s="160">
        <f t="shared" si="154"/>
        <v>2.9999999999999987</v>
      </c>
      <c r="N209" s="283" t="str">
        <f>IF(OR(O209&lt;&gt;"",P209&lt;&gt;""),"O","")</f>
        <v>O</v>
      </c>
      <c r="O209" s="284">
        <f t="shared" si="155"/>
      </c>
      <c r="P209" s="279">
        <f t="shared" si="155"/>
        <v>2.9999999999999987</v>
      </c>
      <c r="Q209" s="285"/>
      <c r="R209" s="285"/>
      <c r="S209" s="280"/>
      <c r="T209" s="31">
        <f>IF(N209="O",MAX(T$204:T208)+1,"")</f>
        <v>4</v>
      </c>
      <c r="U209" s="31">
        <f>IF(Q209="O",MAX(U$204:U208)+1,"")</f>
      </c>
      <c r="V209" s="106">
        <f>IF(W209&lt;&gt;"",VLOOKUP($B$20,'Grille IND'!$A$5:$F$653,3,FALSE),"")</f>
        <v>15.91</v>
      </c>
      <c r="W209" s="106">
        <f>IF(T209="","",IF(OR(AO209="D",AO209="F"),"",IF(OR(AND(N209="O",Q209="",P209&lt;=14),AND(N209="O",Q209="O",P209&lt;=14)),P209,14)))</f>
        <v>2.9999999999999987</v>
      </c>
      <c r="X209" s="107">
        <f>IF(Y209&lt;&gt;"",VLOOKUP($B$20,'Grille IND'!$A$5:$F$653,4,FALSE),"")</f>
      </c>
      <c r="Y209" s="107">
        <f>IF(T209="","",IF(OR(AO209="D",AO209="F"),"",IF(OR(AND(N209="O",Q209="",P209&gt;14),AND(N209="O",Q209="O",P209&gt;14)),P209-14,"")))</f>
      </c>
      <c r="Z209" s="108">
        <f>IF(AA209&lt;&gt;"",VLOOKUP($B$20,'Grille IND'!$A$5:$F$653,5,FALSE),"")</f>
      </c>
      <c r="AA209" s="108">
        <f>IF(T209="","",IF(OR(AND(OR(AO209="D",AO209="F"),N209="O",Q209=""),AND(OR(AO209="D",AO209="F"),N209="O",Q209="O")),P209,""))</f>
      </c>
      <c r="AB209" s="109">
        <f>IF(AC209&lt;&gt;"",VLOOKUP($B$20,'Grille IND'!$A$5:$F$653,6,FALSE),"")</f>
      </c>
      <c r="AC209" s="109">
        <f>IF(T209="","",IF(O209="","",O209))</f>
      </c>
      <c r="AO209" s="105">
        <f t="shared" si="153"/>
      </c>
    </row>
    <row r="210" spans="1:41" ht="15">
      <c r="A210" s="348"/>
      <c r="B210" s="139"/>
      <c r="C210" s="338"/>
      <c r="D210" s="171">
        <f>IF(ROWS($D$206:D210)&lt;=MAX($U$183:$U$201),INDEX($D$183:$D$201,MATCH(ROWS($D$206:D210),$U$183:$U$201,0)),"")</f>
      </c>
      <c r="E210" s="209">
        <f t="shared" si="154"/>
      </c>
      <c r="F210" s="209">
        <f t="shared" si="154"/>
      </c>
      <c r="G210" s="209">
        <f t="shared" si="154"/>
      </c>
      <c r="H210" s="209">
        <f t="shared" si="154"/>
      </c>
      <c r="I210" s="209">
        <f t="shared" si="154"/>
      </c>
      <c r="J210" s="209">
        <f t="shared" si="154"/>
      </c>
      <c r="K210" s="160">
        <f t="shared" si="154"/>
      </c>
      <c r="L210" s="209">
        <f t="shared" si="154"/>
      </c>
      <c r="M210" s="160">
        <f t="shared" si="154"/>
      </c>
      <c r="N210" s="283">
        <f>IF(OR(O210&lt;&gt;"",P210&lt;&gt;""),"O","")</f>
      </c>
      <c r="O210" s="284">
        <f t="shared" si="155"/>
      </c>
      <c r="P210" s="279">
        <f t="shared" si="155"/>
      </c>
      <c r="Q210" s="285"/>
      <c r="R210" s="285"/>
      <c r="S210" s="280"/>
      <c r="T210" s="31">
        <f>IF(N210="O",MAX(T$204:T209)+1,"")</f>
      </c>
      <c r="U210" s="31">
        <f>IF(Q210="O",MAX(U$204:U209)+1,"")</f>
      </c>
      <c r="V210" s="106">
        <f>IF(W210&lt;&gt;"",VLOOKUP($B$20,'Grille IND'!$A$5:$F$653,3,FALSE),"")</f>
      </c>
      <c r="W210" s="106">
        <f>IF(T210="","",IF(OR(AO210="D",AO210="F"),"",IF(OR(AND(N210="O",Q210="",P210&lt;=14),AND(N210="O",Q210="O",P210&lt;=14)),P210,14)))</f>
      </c>
      <c r="X210" s="107">
        <f>IF(Y210&lt;&gt;"",VLOOKUP($B$20,'Grille IND'!$A$5:$F$653,4,FALSE),"")</f>
      </c>
      <c r="Y210" s="107">
        <f>IF(T210="","",IF(OR(AO210="D",AO210="F"),"",IF(OR(AND(N210="O",Q210="",P210&gt;14),AND(N210="O",Q210="O",P210&gt;14)),P210-14,"")))</f>
      </c>
      <c r="Z210" s="108">
        <f>IF(AA210&lt;&gt;"",VLOOKUP($B$20,'Grille IND'!$A$5:$F$653,5,FALSE),"")</f>
      </c>
      <c r="AA210" s="108">
        <f>IF(T210="","",IF(OR(AND(OR(AO210="D",AO210="F"),N210="O",Q210=""),AND(OR(AO210="D",AO210="F"),N210="O",Q210="O")),P210,""))</f>
      </c>
      <c r="AB210" s="109">
        <f>IF(AC210&lt;&gt;"",VLOOKUP($B$20,'Grille IND'!$A$5:$F$653,6,FALSE),"")</f>
      </c>
      <c r="AC210" s="109">
        <f>IF(T210="","",IF(O210="","",O210))</f>
      </c>
      <c r="AO210" s="105">
        <f t="shared" si="153"/>
      </c>
    </row>
    <row r="211" spans="1:41" ht="21.75" customHeight="1">
      <c r="A211" s="348"/>
      <c r="B211" s="139"/>
      <c r="C211" s="338"/>
      <c r="D211" s="192"/>
      <c r="E211" s="224"/>
      <c r="F211" s="233"/>
      <c r="G211" s="233"/>
      <c r="H211" s="167"/>
      <c r="I211" s="167"/>
      <c r="J211" s="224"/>
      <c r="K211" s="168"/>
      <c r="L211" s="224"/>
      <c r="M211" s="168"/>
      <c r="N211" s="193">
        <f>IF(AND(K211="",M211=""),"",IF(OR(SUM(K$22:K211,M$22:M211)&lt;=25,AND(SUM(K$22:K211,M$22:M211)&lt;=25,SUM(K$22:K211,M$22:M211,M211,K211)&gt;25)),"O","N"))</f>
      </c>
      <c r="O211" s="193"/>
      <c r="P211" s="168">
        <f>_xlfn.IFERROR(VLOOKUP($D211,$D$45:$S$63,COLUMN(N$1),0),"")</f>
      </c>
      <c r="Q211" s="178"/>
      <c r="R211" s="178"/>
      <c r="S211" s="194"/>
      <c r="T211" s="31">
        <f>IF(N211="O",MAX(T$204:T210)+1,"")</f>
      </c>
      <c r="U211" s="31">
        <f>IF(Q211="O",MAX(U$204:U210)+1,"")</f>
      </c>
      <c r="V211" s="238"/>
      <c r="W211" s="238"/>
      <c r="X211" s="252"/>
      <c r="Y211" s="252"/>
      <c r="Z211" s="253"/>
      <c r="AA211" s="253"/>
      <c r="AB211" s="254"/>
      <c r="AC211" s="254"/>
      <c r="AO211" s="105">
        <f t="shared" si="153"/>
      </c>
    </row>
    <row r="212" spans="1:41" ht="14.25" customHeight="1">
      <c r="A212" s="348"/>
      <c r="B212" s="139"/>
      <c r="C212" s="334" t="s">
        <v>27</v>
      </c>
      <c r="D212" s="133">
        <v>43136</v>
      </c>
      <c r="E212" s="210">
        <v>0.3333333333333333</v>
      </c>
      <c r="F212" s="213">
        <v>0.5416666666666666</v>
      </c>
      <c r="G212" s="213">
        <f aca="true" t="shared" si="156" ref="G212:G224">IF(AND(E212="",F212=""),"",MOD(F212-E212,1))</f>
        <v>0.20833333333333331</v>
      </c>
      <c r="H212" s="213">
        <f aca="true" t="shared" si="157" ref="H212:H224">IF(E212="","",IF($E212&lt;$AJ$3,$AJ$3-$E212,""))</f>
      </c>
      <c r="I212" s="213">
        <f aca="true" t="shared" si="158" ref="I212:I224">IF(F212="","",IF($F212&gt;$AK$3,$F212-$AK$3,""))</f>
      </c>
      <c r="J212" s="210">
        <f aca="true" t="shared" si="159" ref="J212:J224">IF(AND(H212="",I212=""),"",SUM(H212,I212))</f>
      </c>
      <c r="K212" s="135">
        <f aca="true" t="shared" si="160" ref="K212:K224">IF(J212="","",J212*24)</f>
      </c>
      <c r="L212" s="210">
        <f>IF(AND(E212="",F212=""),"",IF(J212&lt;&gt;"",G212-J212,G212))</f>
        <v>0.20833333333333331</v>
      </c>
      <c r="M212" s="135">
        <f aca="true" t="shared" si="161" ref="M212:M224">IF(L212="","",L212*24)</f>
        <v>5</v>
      </c>
      <c r="N212" s="271" t="str">
        <f>IF(AND(K212="",M212=""),"",IF(OR(SUM($O$206:$P$210,K$212:K212,M$212:M212)&lt;=25,AND(SUM($O$206:$P$210,K$211:K211,M$211:M211)&lt;=25,SUM($O$206:$P$210,K$212:K212,M$212:M212)&gt;25)),"O","N"))</f>
        <v>O</v>
      </c>
      <c r="O212" s="300">
        <f>IF(OR(N212="N",N212=""),"",IF(K212="","",IF((25-SUM(O$206:O211,P$206:P211))&gt;K212,K212,25-SUM(O$206:O211,P$206:P211))))</f>
      </c>
      <c r="P212" s="135">
        <f>IF(OR(N212="N",N212=""),"",IF(M212="","",IF(25-SUM($O$206:O212,$P$206:P211)&gt;M212,M212,25-SUM($O$206:O212,$P$206:P211))))</f>
        <v>5</v>
      </c>
      <c r="Q212" s="137">
        <f aca="true" t="shared" si="162" ref="Q212:Q224">IF(AND(N212="O",SUM(O212,P212)=SUM(K212,M212)),"",IF(AND(N212="O",SUM(O212,P212)&lt;SUM(K212,M212)),"O",IF(N212="N","O","")))</f>
      </c>
      <c r="R212" s="135">
        <f aca="true" t="shared" si="163" ref="R212:R223">IF(Q212="","",IF(AND(N212="O",Q212="O"),IF(K212="","",K212-O212),IF(N212="N",IF(K212="","",K212),"")))</f>
      </c>
      <c r="S212" s="141">
        <f aca="true" t="shared" si="164" ref="S212:S224">IF(Q212="","",IF(AND(N212="O",Q212="O"),IF(M212="","",M212-P212),IF(N212="N",IF(M212="","",M212),"")))</f>
      </c>
      <c r="T212" s="31">
        <f>IF(N212="O",MAX(T$204:T211)+1,"")</f>
        <v>5</v>
      </c>
      <c r="U212" s="31">
        <f>IF(Q212="O",MAX(U$204:U211)+1,"")</f>
      </c>
      <c r="V212" s="106">
        <f>IF(W212&lt;&gt;"",VLOOKUP($B$20,'Grille IND'!$A$5:$F$653,3,FALSE),"")</f>
        <v>15.91</v>
      </c>
      <c r="W212" s="106">
        <f aca="true" t="shared" si="165" ref="W212:W224">IF(T212="","",IF(OR(AO212="D",AO212="F"),"",IF(OR(AND(N212="O",Q212="",P212&lt;=14),AND(N212="O",Q212="O",P212&lt;=14)),P212,14)))</f>
        <v>5</v>
      </c>
      <c r="X212" s="107">
        <f>IF(Y212&lt;&gt;"",VLOOKUP($B$20,'Grille IND'!$A$5:$F$653,4,FALSE),"")</f>
      </c>
      <c r="Y212" s="107">
        <f aca="true" t="shared" si="166" ref="Y212:Y224">IF(T212="","",IF(OR(AO212="D",AO212="F"),"",IF(OR(AND(N212="O",Q212="",P212&gt;14),AND(N212="O",Q212="O",P212&gt;14)),P212-14,"")))</f>
      </c>
      <c r="Z212" s="108">
        <f>IF(AA212&lt;&gt;"",VLOOKUP($B$20,'Grille IND'!$A$5:$F$653,5,FALSE),"")</f>
      </c>
      <c r="AA212" s="108">
        <f aca="true" t="shared" si="167" ref="AA212:AA224">IF(T212="","",IF(OR(AND(OR(AO212="D",AO212="F"),N212="O",Q212=""),AND(OR(AO212="D",AO212="F"),N212="O",Q212="O")),P212,""))</f>
      </c>
      <c r="AB212" s="109">
        <f>IF(AC212&lt;&gt;"",VLOOKUP($B$20,'Grille IND'!$A$5:$F$653,6,FALSE),"")</f>
      </c>
      <c r="AC212" s="109">
        <f aca="true" t="shared" si="168" ref="AC212:AC224">IF(T212="","",IF(O212="","",O212))</f>
      </c>
      <c r="AO212" s="105">
        <f t="shared" si="153"/>
      </c>
    </row>
    <row r="213" spans="1:41" ht="15">
      <c r="A213" s="348"/>
      <c r="B213" s="139"/>
      <c r="C213" s="334"/>
      <c r="D213" s="133">
        <v>43141</v>
      </c>
      <c r="E213" s="210">
        <v>0.34375</v>
      </c>
      <c r="F213" s="213">
        <v>0.8541666666666666</v>
      </c>
      <c r="G213" s="213">
        <f t="shared" si="156"/>
        <v>0.5104166666666666</v>
      </c>
      <c r="H213" s="213">
        <f t="shared" si="157"/>
      </c>
      <c r="I213" s="213">
        <f t="shared" si="158"/>
      </c>
      <c r="J213" s="210">
        <f t="shared" si="159"/>
      </c>
      <c r="K213" s="135">
        <f t="shared" si="160"/>
      </c>
      <c r="L213" s="210">
        <f aca="true" t="shared" si="169" ref="L213:L224">IF(AND(E213="",F213=""),"",IF(J213&lt;&gt;"",G213-J213,G213))</f>
        <v>0.5104166666666666</v>
      </c>
      <c r="M213" s="135">
        <f t="shared" si="161"/>
        <v>12.25</v>
      </c>
      <c r="N213" s="271" t="str">
        <f>IF(AND(K213="",M213=""),"",IF(OR(SUM($O$206:$P$210,K$212:K213,M$212:M213)&lt;=25,AND(SUM($O$206:$P$210,K$211:K212,M$211:M212)&lt;=25,SUM($O$206:$P$210,K$212:K213,M$212:M213)&gt;25)),"O","N"))</f>
        <v>O</v>
      </c>
      <c r="O213" s="300">
        <f>IF(OR(N213="N",N213=""),"",IF(K213="","",IF((25-SUM(O$206:O212,P$206:P212))&gt;K213,K213,25-SUM(O$206:O212,P$206:P212))))</f>
      </c>
      <c r="P213" s="135">
        <f>IF(OR(N213="N",N213=""),"",IF(M213="","",IF(25-SUM($O$206:O213,$P$206:P212)&gt;M213,M213,25-SUM($O$206:O213,$P$206:P212))))</f>
        <v>9.81666666666667</v>
      </c>
      <c r="Q213" s="137" t="str">
        <f t="shared" si="162"/>
        <v>O</v>
      </c>
      <c r="R213" s="135">
        <f t="shared" si="163"/>
      </c>
      <c r="S213" s="141">
        <f t="shared" si="164"/>
        <v>2.43333333333333</v>
      </c>
      <c r="T213" s="31">
        <f>IF(N213="O",MAX(T$204:T212)+1,"")</f>
        <v>6</v>
      </c>
      <c r="U213" s="31">
        <f>IF(Q213="O",MAX(U$204:U212)+1,"")</f>
        <v>1</v>
      </c>
      <c r="V213" s="106">
        <f>IF(W213&lt;&gt;"",VLOOKUP($B$20,'Grille IND'!$A$5:$F$653,3,FALSE),"")</f>
        <v>15.91</v>
      </c>
      <c r="W213" s="106">
        <f t="shared" si="165"/>
        <v>9.81666666666667</v>
      </c>
      <c r="X213" s="107">
        <f>IF(Y213&lt;&gt;"",VLOOKUP($B$20,'Grille IND'!$A$5:$F$653,4,FALSE),"")</f>
      </c>
      <c r="Y213" s="107">
        <f t="shared" si="166"/>
      </c>
      <c r="Z213" s="108">
        <f>IF(AA213&lt;&gt;"",VLOOKUP($B$20,'Grille IND'!$A$5:$F$653,5,FALSE),"")</f>
      </c>
      <c r="AA213" s="108">
        <f t="shared" si="167"/>
      </c>
      <c r="AB213" s="109">
        <f>IF(AC213&lt;&gt;"",VLOOKUP($B$20,'Grille IND'!$A$5:$F$653,6,FALSE),"")</f>
      </c>
      <c r="AC213" s="109">
        <f t="shared" si="168"/>
      </c>
      <c r="AO213" s="105">
        <f t="shared" si="153"/>
      </c>
    </row>
    <row r="214" spans="1:41" ht="15">
      <c r="A214" s="348"/>
      <c r="B214" s="139"/>
      <c r="C214" s="334"/>
      <c r="D214" s="133">
        <v>43142</v>
      </c>
      <c r="E214" s="210">
        <v>0.2916666666666667</v>
      </c>
      <c r="F214" s="213">
        <v>0.5104166666666666</v>
      </c>
      <c r="G214" s="213">
        <f t="shared" si="156"/>
        <v>0.21874999999999994</v>
      </c>
      <c r="H214" s="213">
        <f t="shared" si="157"/>
      </c>
      <c r="I214" s="213">
        <f t="shared" si="158"/>
      </c>
      <c r="J214" s="210">
        <f t="shared" si="159"/>
      </c>
      <c r="K214" s="135">
        <f t="shared" si="160"/>
      </c>
      <c r="L214" s="210">
        <f t="shared" si="169"/>
        <v>0.21874999999999994</v>
      </c>
      <c r="M214" s="135">
        <f t="shared" si="161"/>
        <v>5.249999999999998</v>
      </c>
      <c r="N214" s="271" t="str">
        <f>IF(AND(K214="",M214=""),"",IF(OR(SUM($O$206:$P$210,K$212:K214,M$212:M214)&lt;=25,AND(SUM($O$206:$P$210,K$211:K213,M$211:M213)&lt;=25,SUM($O$206:$P$210,K$212:K214,M$212:M214)&gt;25)),"O","N"))</f>
        <v>N</v>
      </c>
      <c r="O214" s="300">
        <f>IF(OR(N214="N",N214=""),"",IF(K214="","",IF((25-SUM(O$206:O213,P$206:P213))&gt;K214,K214,25-SUM(O$206:O213,P$206:P213))))</f>
      </c>
      <c r="P214" s="135">
        <f>IF(OR(N214="N",N214=""),"",IF(M214="","",IF(25-SUM($O$206:O214,$P$206:P213)&gt;M214,M214,25-SUM($O$206:O214,$P$206:P213))))</f>
      </c>
      <c r="Q214" s="137" t="str">
        <f t="shared" si="162"/>
        <v>O</v>
      </c>
      <c r="R214" s="135">
        <f t="shared" si="163"/>
      </c>
      <c r="S214" s="141">
        <f t="shared" si="164"/>
        <v>5.249999999999998</v>
      </c>
      <c r="T214" s="31">
        <f>IF(N214="O",MAX(T$204:T213)+1,"")</f>
      </c>
      <c r="U214" s="31">
        <f>IF(Q214="O",MAX(U$204:U213)+1,"")</f>
        <v>2</v>
      </c>
      <c r="V214" s="106">
        <f>IF(W214&lt;&gt;"",VLOOKUP($B$20,'Grille IND'!$A$5:$F$653,3,FALSE),"")</f>
      </c>
      <c r="W214" s="106">
        <f t="shared" si="165"/>
      </c>
      <c r="X214" s="107">
        <f>IF(Y214&lt;&gt;"",VLOOKUP($B$20,'Grille IND'!$A$5:$F$653,4,FALSE),"")</f>
      </c>
      <c r="Y214" s="107">
        <f t="shared" si="166"/>
      </c>
      <c r="Z214" s="108">
        <f>IF(AA214&lt;&gt;"",VLOOKUP($B$20,'Grille IND'!$A$5:$F$653,5,FALSE),"")</f>
      </c>
      <c r="AA214" s="108">
        <f t="shared" si="167"/>
      </c>
      <c r="AB214" s="109">
        <f>IF(AC214&lt;&gt;"",VLOOKUP($B$20,'Grille IND'!$A$5:$F$653,6,FALSE),"")</f>
      </c>
      <c r="AC214" s="109">
        <f t="shared" si="168"/>
      </c>
      <c r="AO214" s="105" t="str">
        <f t="shared" si="153"/>
        <v>D</v>
      </c>
    </row>
    <row r="215" spans="1:41" ht="15">
      <c r="A215" s="348"/>
      <c r="B215" s="139"/>
      <c r="C215" s="334"/>
      <c r="D215" s="133">
        <v>43156</v>
      </c>
      <c r="E215" s="210">
        <v>0.625</v>
      </c>
      <c r="F215" s="213">
        <v>0.9305555555555555</v>
      </c>
      <c r="G215" s="213">
        <f t="shared" si="156"/>
        <v>0.30555555555555547</v>
      </c>
      <c r="H215" s="213">
        <f t="shared" si="157"/>
      </c>
      <c r="I215" s="213">
        <f t="shared" si="158"/>
        <v>0.01388888888888884</v>
      </c>
      <c r="J215" s="210">
        <f t="shared" si="159"/>
        <v>0.01388888888888884</v>
      </c>
      <c r="K215" s="135">
        <f t="shared" si="160"/>
        <v>0.33333333333333215</v>
      </c>
      <c r="L215" s="210">
        <f t="shared" si="169"/>
        <v>0.29166666666666663</v>
      </c>
      <c r="M215" s="135">
        <f t="shared" si="161"/>
        <v>6.999999999999999</v>
      </c>
      <c r="N215" s="271" t="str">
        <f>IF(AND(K215="",M215=""),"",IF(OR(SUM($O$206:$P$210,K$212:K215,M$212:M215)&lt;=25,AND(SUM($O$206:$P$210,K$211:K214,M$211:M214)&lt;=25,SUM($O$206:$P$210,K$212:K215,M$212:M215)&gt;25)),"O","N"))</f>
        <v>N</v>
      </c>
      <c r="O215" s="300">
        <f>IF(OR(N215="N",N215=""),"",IF(K215="","",IF((25-SUM(O$206:O214,P$206:P214))&gt;K215,K215,25-SUM(O$206:O214,P$206:P214))))</f>
      </c>
      <c r="P215" s="135">
        <f>IF(OR(N215="N",N215=""),"",IF(M215="","",IF(25-SUM($O$206:O215,$P$206:P214)&gt;M215,M215,25-SUM($O$206:O215,$P$206:P214))))</f>
      </c>
      <c r="Q215" s="137" t="str">
        <f t="shared" si="162"/>
        <v>O</v>
      </c>
      <c r="R215" s="135">
        <f t="shared" si="163"/>
        <v>0.33333333333333215</v>
      </c>
      <c r="S215" s="141">
        <f t="shared" si="164"/>
        <v>6.999999999999999</v>
      </c>
      <c r="T215" s="31">
        <f>IF(N215="O",MAX(T$204:T214)+1,"")</f>
      </c>
      <c r="U215" s="31">
        <f>IF(Q215="O",MAX(U$204:U214)+1,"")</f>
        <v>3</v>
      </c>
      <c r="V215" s="106">
        <f>IF(W215&lt;&gt;"",VLOOKUP($B$20,'Grille IND'!$A$5:$F$653,3,FALSE),"")</f>
      </c>
      <c r="W215" s="106">
        <f t="shared" si="165"/>
      </c>
      <c r="X215" s="107">
        <f>IF(Y215&lt;&gt;"",VLOOKUP($B$20,'Grille IND'!$A$5:$F$653,4,FALSE),"")</f>
      </c>
      <c r="Y215" s="107">
        <f t="shared" si="166"/>
      </c>
      <c r="Z215" s="108">
        <f>IF(AA215&lt;&gt;"",VLOOKUP($B$20,'Grille IND'!$A$5:$F$653,5,FALSE),"")</f>
      </c>
      <c r="AA215" s="108">
        <f t="shared" si="167"/>
      </c>
      <c r="AB215" s="109">
        <f>IF(AC215&lt;&gt;"",VLOOKUP($B$20,'Grille IND'!$A$5:$F$653,6,FALSE),"")</f>
      </c>
      <c r="AC215" s="109">
        <f t="shared" si="168"/>
      </c>
      <c r="AO215" s="105" t="str">
        <f t="shared" si="153"/>
        <v>D</v>
      </c>
    </row>
    <row r="216" spans="1:41" ht="15">
      <c r="A216" s="348"/>
      <c r="B216" s="139"/>
      <c r="C216" s="334"/>
      <c r="D216" s="133"/>
      <c r="E216" s="210"/>
      <c r="F216" s="213"/>
      <c r="G216" s="213">
        <f t="shared" si="156"/>
      </c>
      <c r="H216" s="213">
        <f t="shared" si="157"/>
      </c>
      <c r="I216" s="213">
        <f t="shared" si="158"/>
      </c>
      <c r="J216" s="210">
        <f t="shared" si="159"/>
      </c>
      <c r="K216" s="135">
        <f t="shared" si="160"/>
      </c>
      <c r="L216" s="210">
        <f t="shared" si="169"/>
      </c>
      <c r="M216" s="135">
        <f t="shared" si="161"/>
      </c>
      <c r="N216" s="271">
        <f>IF(AND(K216="",M216=""),"",IF(OR(SUM($O$206:$P$210,K$212:K216,M$212:M216)&lt;=25,AND(SUM($O$206:$P$210,K$211:K215,M$211:M215)&lt;=25,SUM($O$206:$P$210,K$212:K216,M$212:M216)&gt;25)),"O","N"))</f>
      </c>
      <c r="O216" s="300">
        <f>IF(OR(N216="N",N216=""),"",IF(K216="","",IF((25-SUM(O$206:O215,P$206:P215))&gt;K216,K216,25-SUM(O$206:O215,P$206:P215))))</f>
      </c>
      <c r="P216" s="135">
        <f>IF(OR(N216="N",N216=""),"",IF(M216="","",IF(25-SUM($O$206:O216,$P$206:P215)&gt;M216,M216,25-SUM($O$206:O216,$P$206:P215))))</f>
      </c>
      <c r="Q216" s="137">
        <f t="shared" si="162"/>
      </c>
      <c r="R216" s="135">
        <f t="shared" si="163"/>
      </c>
      <c r="S216" s="141">
        <f t="shared" si="164"/>
      </c>
      <c r="T216" s="31">
        <f>IF(N216="O",MAX(T$204:T215)+1,"")</f>
      </c>
      <c r="U216" s="31">
        <f>IF(Q216="O",MAX(U$204:U215)+1,"")</f>
      </c>
      <c r="V216" s="106">
        <f>IF(W216&lt;&gt;"",VLOOKUP($B$20,'Grille IND'!$A$5:$F$653,3,FALSE),"")</f>
      </c>
      <c r="W216" s="106">
        <f t="shared" si="165"/>
      </c>
      <c r="X216" s="107">
        <f>IF(Y216&lt;&gt;"",VLOOKUP($B$20,'Grille IND'!$A$5:$F$653,4,FALSE),"")</f>
      </c>
      <c r="Y216" s="107">
        <f t="shared" si="166"/>
      </c>
      <c r="Z216" s="108">
        <f>IF(AA216&lt;&gt;"",VLOOKUP($B$20,'Grille IND'!$A$5:$F$653,5,FALSE),"")</f>
      </c>
      <c r="AA216" s="108">
        <f t="shared" si="167"/>
      </c>
      <c r="AB216" s="109">
        <f>IF(AC216&lt;&gt;"",VLOOKUP($B$20,'Grille IND'!$A$5:$F$653,6,FALSE),"")</f>
      </c>
      <c r="AC216" s="109">
        <f t="shared" si="168"/>
      </c>
      <c r="AO216" s="105">
        <f t="shared" si="153"/>
      </c>
    </row>
    <row r="217" spans="1:41" ht="15">
      <c r="A217" s="348"/>
      <c r="B217" s="139"/>
      <c r="C217" s="334"/>
      <c r="D217" s="133"/>
      <c r="E217" s="210"/>
      <c r="F217" s="213"/>
      <c r="G217" s="213">
        <f t="shared" si="156"/>
      </c>
      <c r="H217" s="213">
        <f t="shared" si="157"/>
      </c>
      <c r="I217" s="213">
        <f t="shared" si="158"/>
      </c>
      <c r="J217" s="210">
        <f t="shared" si="159"/>
      </c>
      <c r="K217" s="135">
        <f t="shared" si="160"/>
      </c>
      <c r="L217" s="210">
        <f t="shared" si="169"/>
      </c>
      <c r="M217" s="135">
        <f t="shared" si="161"/>
      </c>
      <c r="N217" s="271">
        <f>IF(AND(K217="",M217=""),"",IF(OR(SUM($O$206:$P$210,K$212:K217,M$212:M217)&lt;=25,AND(SUM($O$206:$P$210,K$211:K216,M$211:M216)&lt;=25,SUM($O$206:$P$210,K$212:K217,M$212:M217)&gt;25)),"O","N"))</f>
      </c>
      <c r="O217" s="300">
        <f>IF(OR(N217="N",N217=""),"",IF(K217="","",IF((25-SUM(O$206:O216,P$206:P216))&gt;K217,K217,25-SUM(O$206:O216,P$206:P216))))</f>
      </c>
      <c r="P217" s="135">
        <f>IF(OR(N217="N",N217=""),"",IF(M217="","",IF(25-SUM($O$206:O217,$P$206:P216)&gt;M217,M217,25-SUM($O$206:O217,$P$206:P216))))</f>
      </c>
      <c r="Q217" s="137">
        <f t="shared" si="162"/>
      </c>
      <c r="R217" s="135">
        <f t="shared" si="163"/>
      </c>
      <c r="S217" s="141">
        <f t="shared" si="164"/>
      </c>
      <c r="T217" s="31">
        <f>IF(N217="O",MAX(T$204:T216)+1,"")</f>
      </c>
      <c r="U217" s="31">
        <f>IF(Q217="O",MAX(U$204:U216)+1,"")</f>
      </c>
      <c r="V217" s="106">
        <f>IF(W217&lt;&gt;"",VLOOKUP($B$20,'Grille IND'!$A$5:$F$653,3,FALSE),"")</f>
      </c>
      <c r="W217" s="106">
        <f t="shared" si="165"/>
      </c>
      <c r="X217" s="107">
        <f>IF(Y217&lt;&gt;"",VLOOKUP($B$20,'Grille IND'!$A$5:$F$653,4,FALSE),"")</f>
      </c>
      <c r="Y217" s="107">
        <f t="shared" si="166"/>
      </c>
      <c r="Z217" s="108">
        <f>IF(AA217&lt;&gt;"",VLOOKUP($B$20,'Grille IND'!$A$5:$F$653,5,FALSE),"")</f>
      </c>
      <c r="AA217" s="108">
        <f t="shared" si="167"/>
      </c>
      <c r="AB217" s="109">
        <f>IF(AC217&lt;&gt;"",VLOOKUP($B$20,'Grille IND'!$A$5:$F$653,6,FALSE),"")</f>
      </c>
      <c r="AC217" s="109">
        <f t="shared" si="168"/>
      </c>
      <c r="AO217" s="105">
        <f t="shared" si="153"/>
      </c>
    </row>
    <row r="218" spans="1:41" ht="15">
      <c r="A218" s="348"/>
      <c r="B218" s="139"/>
      <c r="C218" s="334"/>
      <c r="D218" s="133"/>
      <c r="E218" s="210"/>
      <c r="F218" s="213"/>
      <c r="G218" s="213">
        <f t="shared" si="156"/>
      </c>
      <c r="H218" s="213">
        <f t="shared" si="157"/>
      </c>
      <c r="I218" s="213">
        <f t="shared" si="158"/>
      </c>
      <c r="J218" s="210">
        <f t="shared" si="159"/>
      </c>
      <c r="K218" s="135">
        <f t="shared" si="160"/>
      </c>
      <c r="L218" s="210">
        <f t="shared" si="169"/>
      </c>
      <c r="M218" s="135">
        <f t="shared" si="161"/>
      </c>
      <c r="N218" s="271">
        <f>IF(AND(K218="",M218=""),"",IF(OR(SUM($O$206:$P$210,K$212:K218,M$212:M218)&lt;=25,AND(SUM($O$206:$P$210,K$211:K217,M$211:M217)&lt;=25,SUM($O$206:$P$210,K$212:K218,M$212:M218)&gt;25)),"O","N"))</f>
      </c>
      <c r="O218" s="300">
        <f>IF(OR(N218="N",N218=""),"",IF(K218="","",IF((25-SUM(O$206:O217,P$206:P217))&gt;K218,K218,25-SUM(O$206:O217,P$206:P217))))</f>
      </c>
      <c r="P218" s="135">
        <f>IF(OR(N218="N",N218=""),"",IF(M218="","",IF(25-SUM($O$206:O218,$P$206:P217)&gt;M218,M218,25-SUM($O$206:O218,$P$206:P217))))</f>
      </c>
      <c r="Q218" s="137">
        <f t="shared" si="162"/>
      </c>
      <c r="R218" s="135">
        <f t="shared" si="163"/>
      </c>
      <c r="S218" s="141">
        <f t="shared" si="164"/>
      </c>
      <c r="T218" s="31">
        <f>IF(N218="O",MAX(T$204:T217)+1,"")</f>
      </c>
      <c r="U218" s="31">
        <f>IF(Q218="O",MAX(U$204:U217)+1,"")</f>
      </c>
      <c r="V218" s="106">
        <f>IF(W218&lt;&gt;"",VLOOKUP($B$20,'Grille IND'!$A$5:$F$653,3,FALSE),"")</f>
      </c>
      <c r="W218" s="106">
        <f t="shared" si="165"/>
      </c>
      <c r="X218" s="107">
        <f>IF(Y218&lt;&gt;"",VLOOKUP($B$20,'Grille IND'!$A$5:$F$653,4,FALSE),"")</f>
      </c>
      <c r="Y218" s="107">
        <f t="shared" si="166"/>
      </c>
      <c r="Z218" s="108">
        <f>IF(AA218&lt;&gt;"",VLOOKUP($B$20,'Grille IND'!$A$5:$F$653,5,FALSE),"")</f>
      </c>
      <c r="AA218" s="108">
        <f t="shared" si="167"/>
      </c>
      <c r="AB218" s="109">
        <f>IF(AC218&lt;&gt;"",VLOOKUP($B$20,'Grille IND'!$A$5:$F$653,6,FALSE),"")</f>
      </c>
      <c r="AC218" s="109">
        <f t="shared" si="168"/>
      </c>
      <c r="AO218" s="105">
        <f t="shared" si="153"/>
      </c>
    </row>
    <row r="219" spans="1:41" ht="15">
      <c r="A219" s="348"/>
      <c r="B219" s="139"/>
      <c r="C219" s="334"/>
      <c r="D219" s="133"/>
      <c r="E219" s="210"/>
      <c r="F219" s="213"/>
      <c r="G219" s="213">
        <f t="shared" si="156"/>
      </c>
      <c r="H219" s="213">
        <f t="shared" si="157"/>
      </c>
      <c r="I219" s="213">
        <f t="shared" si="158"/>
      </c>
      <c r="J219" s="210">
        <f t="shared" si="159"/>
      </c>
      <c r="K219" s="135">
        <f t="shared" si="160"/>
      </c>
      <c r="L219" s="210">
        <f t="shared" si="169"/>
      </c>
      <c r="M219" s="135">
        <f t="shared" si="161"/>
      </c>
      <c r="N219" s="271">
        <f>IF(AND(K219="",M219=""),"",IF(OR(SUM($O$206:$P$210,K$212:K219,M$212:M219)&lt;=25,AND(SUM($O$206:$P$210,K$211:K218,M$211:M218)&lt;=25,SUM($O$206:$P$210,K$212:K219,M$212:M219)&gt;25)),"O","N"))</f>
      </c>
      <c r="O219" s="300">
        <f>IF(OR(N219="N",N219=""),"",IF(K219="","",IF((25-SUM(O$206:O218,P$206:P218))&gt;K219,K219,25-SUM(O$206:O218,P$206:P218))))</f>
      </c>
      <c r="P219" s="135">
        <f>IF(OR(N219="N",N219=""),"",IF(M219="","",IF(25-SUM($O$206:O219,$P$206:P218)&gt;M219,M219,25-SUM($O$206:O219,$P$206:P218))))</f>
      </c>
      <c r="Q219" s="137">
        <f t="shared" si="162"/>
      </c>
      <c r="R219" s="135">
        <f t="shared" si="163"/>
      </c>
      <c r="S219" s="141">
        <f t="shared" si="164"/>
      </c>
      <c r="T219" s="31">
        <f>IF(N219="O",MAX(T$204:T218)+1,"")</f>
      </c>
      <c r="U219" s="31">
        <f>IF(Q219="O",MAX(U$204:U218)+1,"")</f>
      </c>
      <c r="V219" s="106">
        <f>IF(W219&lt;&gt;"",VLOOKUP($B$20,'Grille IND'!$A$5:$F$653,3,FALSE),"")</f>
      </c>
      <c r="W219" s="106">
        <f t="shared" si="165"/>
      </c>
      <c r="X219" s="107">
        <f>IF(Y219&lt;&gt;"",VLOOKUP($B$20,'Grille IND'!$A$5:$F$653,4,FALSE),"")</f>
      </c>
      <c r="Y219" s="107">
        <f t="shared" si="166"/>
      </c>
      <c r="Z219" s="108">
        <f>IF(AA219&lt;&gt;"",VLOOKUP($B$20,'Grille IND'!$A$5:$F$653,5,FALSE),"")</f>
      </c>
      <c r="AA219" s="108">
        <f t="shared" si="167"/>
      </c>
      <c r="AB219" s="109">
        <f>IF(AC219&lt;&gt;"",VLOOKUP($B$20,'Grille IND'!$A$5:$F$653,6,FALSE),"")</f>
      </c>
      <c r="AC219" s="109">
        <f t="shared" si="168"/>
      </c>
      <c r="AO219" s="105">
        <f t="shared" si="153"/>
      </c>
    </row>
    <row r="220" spans="1:41" ht="15">
      <c r="A220" s="348"/>
      <c r="B220" s="139"/>
      <c r="C220" s="334"/>
      <c r="D220" s="133"/>
      <c r="E220" s="210"/>
      <c r="F220" s="213"/>
      <c r="G220" s="213">
        <f t="shared" si="156"/>
      </c>
      <c r="H220" s="213">
        <f t="shared" si="157"/>
      </c>
      <c r="I220" s="213">
        <f t="shared" si="158"/>
      </c>
      <c r="J220" s="210">
        <f t="shared" si="159"/>
      </c>
      <c r="K220" s="135">
        <f t="shared" si="160"/>
      </c>
      <c r="L220" s="210">
        <f t="shared" si="169"/>
      </c>
      <c r="M220" s="135">
        <f t="shared" si="161"/>
      </c>
      <c r="N220" s="271">
        <f>IF(AND(K220="",M220=""),"",IF(OR(SUM($O$206:$P$210,K$212:K220,M$212:M220)&lt;=25,AND(SUM($O$206:$P$210,K$211:K219,M$211:M219)&lt;=25,SUM($O$206:$P$210,K$212:K220,M$212:M220)&gt;25)),"O","N"))</f>
      </c>
      <c r="O220" s="300">
        <f>IF(OR(N220="N",N220=""),"",IF(K220="","",IF((25-SUM(O$206:O219,P$206:P219))&gt;K220,K220,25-SUM(O$206:O219,P$206:P219))))</f>
      </c>
      <c r="P220" s="135">
        <f>IF(OR(N220="N",N220=""),"",IF(M220="","",IF(25-SUM($O$206:O220,$P$206:P219)&gt;M220,M220,25-SUM($O$206:O220,$P$206:P219))))</f>
      </c>
      <c r="Q220" s="137">
        <f t="shared" si="162"/>
      </c>
      <c r="R220" s="135">
        <f t="shared" si="163"/>
      </c>
      <c r="S220" s="141">
        <f t="shared" si="164"/>
      </c>
      <c r="T220" s="31">
        <f>IF(N220="O",MAX(T$204:T219)+1,"")</f>
      </c>
      <c r="U220" s="31">
        <f>IF(Q220="O",MAX(U$204:U219)+1,"")</f>
      </c>
      <c r="V220" s="106">
        <f>IF(W220&lt;&gt;"",VLOOKUP($B$20,'Grille IND'!$A$5:$F$653,3,FALSE),"")</f>
      </c>
      <c r="W220" s="106">
        <f t="shared" si="165"/>
      </c>
      <c r="X220" s="107">
        <f>IF(Y220&lt;&gt;"",VLOOKUP($B$20,'Grille IND'!$A$5:$F$653,4,FALSE),"")</f>
      </c>
      <c r="Y220" s="107">
        <f t="shared" si="166"/>
      </c>
      <c r="Z220" s="108">
        <f>IF(AA220&lt;&gt;"",VLOOKUP($B$20,'Grille IND'!$A$5:$F$653,5,FALSE),"")</f>
      </c>
      <c r="AA220" s="108">
        <f t="shared" si="167"/>
      </c>
      <c r="AB220" s="109">
        <f>IF(AC220&lt;&gt;"",VLOOKUP($B$20,'Grille IND'!$A$5:$F$653,6,FALSE),"")</f>
      </c>
      <c r="AC220" s="109">
        <f t="shared" si="168"/>
      </c>
      <c r="AO220" s="105">
        <f t="shared" si="153"/>
      </c>
    </row>
    <row r="221" spans="1:41" ht="15">
      <c r="A221" s="348"/>
      <c r="B221" s="139"/>
      <c r="C221" s="334"/>
      <c r="D221" s="133"/>
      <c r="E221" s="210"/>
      <c r="F221" s="213"/>
      <c r="G221" s="213">
        <f t="shared" si="156"/>
      </c>
      <c r="H221" s="213">
        <f t="shared" si="157"/>
      </c>
      <c r="I221" s="213">
        <f t="shared" si="158"/>
      </c>
      <c r="J221" s="210">
        <f t="shared" si="159"/>
      </c>
      <c r="K221" s="135">
        <f t="shared" si="160"/>
      </c>
      <c r="L221" s="210">
        <f t="shared" si="169"/>
      </c>
      <c r="M221" s="135">
        <f t="shared" si="161"/>
      </c>
      <c r="N221" s="271">
        <f>IF(AND(K221="",M221=""),"",IF(OR(SUM($O$206:$P$210,K$212:K221,M$212:M221)&lt;=25,AND(SUM($O$206:$P$210,K$211:K220,M$211:M220)&lt;=25,SUM($O$206:$P$210,K$212:K221,M$212:M221)&gt;25)),"O","N"))</f>
      </c>
      <c r="O221" s="300">
        <f>IF(OR(N221="N",N221=""),"",IF(K221="","",IF((25-SUM(O$206:O220,P$206:P220))&gt;K221,K221,25-SUM(O$206:O220,P$206:P220))))</f>
      </c>
      <c r="P221" s="135">
        <f>IF(OR(N221="N",N221=""),"",IF(M221="","",IF(25-SUM($O$206:O221,$P$206:P220)&gt;M221,M221,25-SUM($O$206:O221,$P$206:P220))))</f>
      </c>
      <c r="Q221" s="137">
        <f t="shared" si="162"/>
      </c>
      <c r="R221" s="135">
        <f t="shared" si="163"/>
      </c>
      <c r="S221" s="141">
        <f t="shared" si="164"/>
      </c>
      <c r="T221" s="31">
        <f>IF(N221="O",MAX(T$204:T220)+1,"")</f>
      </c>
      <c r="U221" s="31">
        <f>IF(Q221="O",MAX(U$204:U220)+1,"")</f>
      </c>
      <c r="V221" s="106">
        <f>IF(W221&lt;&gt;"",VLOOKUP($B$20,'Grille IND'!$A$5:$F$653,3,FALSE),"")</f>
      </c>
      <c r="W221" s="106">
        <f t="shared" si="165"/>
      </c>
      <c r="X221" s="107">
        <f>IF(Y221&lt;&gt;"",VLOOKUP($B$20,'Grille IND'!$A$5:$F$653,4,FALSE),"")</f>
      </c>
      <c r="Y221" s="107">
        <f t="shared" si="166"/>
      </c>
      <c r="Z221" s="108">
        <f>IF(AA221&lt;&gt;"",VLOOKUP($B$20,'Grille IND'!$A$5:$F$653,5,FALSE),"")</f>
      </c>
      <c r="AA221" s="108">
        <f t="shared" si="167"/>
      </c>
      <c r="AB221" s="109">
        <f>IF(AC221&lt;&gt;"",VLOOKUP($B$20,'Grille IND'!$A$5:$F$653,6,FALSE),"")</f>
      </c>
      <c r="AC221" s="109">
        <f t="shared" si="168"/>
      </c>
      <c r="AO221" s="105">
        <f t="shared" si="153"/>
      </c>
    </row>
    <row r="222" spans="1:41" ht="15">
      <c r="A222" s="348"/>
      <c r="B222" s="139"/>
      <c r="C222" s="334"/>
      <c r="D222" s="133"/>
      <c r="E222" s="210"/>
      <c r="F222" s="213"/>
      <c r="G222" s="213">
        <f t="shared" si="156"/>
      </c>
      <c r="H222" s="213">
        <f t="shared" si="157"/>
      </c>
      <c r="I222" s="213">
        <f t="shared" si="158"/>
      </c>
      <c r="J222" s="210">
        <f t="shared" si="159"/>
      </c>
      <c r="K222" s="135">
        <f t="shared" si="160"/>
      </c>
      <c r="L222" s="210">
        <f t="shared" si="169"/>
      </c>
      <c r="M222" s="135">
        <f t="shared" si="161"/>
      </c>
      <c r="N222" s="271">
        <f>IF(AND(K222="",M222=""),"",IF(OR(SUM($O$206:$P$210,K$212:K222,M$212:M222)&lt;=25,AND(SUM($O$206:$P$210,K$211:K221,M$211:M221)&lt;=25,SUM($O$206:$P$210,K$212:K222,M$212:M222)&gt;25)),"O","N"))</f>
      </c>
      <c r="O222" s="300">
        <f>IF(OR(N222="N",N222=""),"",IF(K222="","",IF((25-SUM(O$206:O221,P$206:P221))&gt;K222,K222,25-SUM(O$206:O221,P$206:P221))))</f>
      </c>
      <c r="P222" s="135">
        <f>IF(OR(N222="N",N222=""),"",IF(M222="","",IF(25-SUM($O$206:O222,$P$206:P221)&gt;M222,M222,25-SUM($O$206:O222,$P$206:P221))))</f>
      </c>
      <c r="Q222" s="137">
        <f t="shared" si="162"/>
      </c>
      <c r="R222" s="135">
        <f t="shared" si="163"/>
      </c>
      <c r="S222" s="141">
        <f t="shared" si="164"/>
      </c>
      <c r="T222" s="31">
        <f>IF(N222="O",MAX(T$204:T221)+1,"")</f>
      </c>
      <c r="U222" s="31">
        <f>IF(Q222="O",MAX(U$204:U221)+1,"")</f>
      </c>
      <c r="V222" s="106">
        <f>IF(W222&lt;&gt;"",VLOOKUP($B$20,'Grille IND'!$A$5:$F$653,3,FALSE),"")</f>
      </c>
      <c r="W222" s="106">
        <f t="shared" si="165"/>
      </c>
      <c r="X222" s="107">
        <f>IF(Y222&lt;&gt;"",VLOOKUP($B$20,'Grille IND'!$A$5:$F$653,4,FALSE),"")</f>
      </c>
      <c r="Y222" s="107">
        <f t="shared" si="166"/>
      </c>
      <c r="Z222" s="108">
        <f>IF(AA222&lt;&gt;"",VLOOKUP($B$20,'Grille IND'!$A$5:$F$653,5,FALSE),"")</f>
      </c>
      <c r="AA222" s="108">
        <f t="shared" si="167"/>
      </c>
      <c r="AB222" s="109">
        <f>IF(AC222&lt;&gt;"",VLOOKUP($B$20,'Grille IND'!$A$5:$F$653,6,FALSE),"")</f>
      </c>
      <c r="AC222" s="109">
        <f t="shared" si="168"/>
      </c>
      <c r="AO222" s="105">
        <f t="shared" si="153"/>
      </c>
    </row>
    <row r="223" spans="1:41" ht="15">
      <c r="A223" s="348"/>
      <c r="B223" s="139"/>
      <c r="C223" s="334"/>
      <c r="D223" s="133"/>
      <c r="E223" s="210"/>
      <c r="F223" s="213"/>
      <c r="G223" s="213">
        <f t="shared" si="156"/>
      </c>
      <c r="H223" s="213">
        <f t="shared" si="157"/>
      </c>
      <c r="I223" s="213">
        <f t="shared" si="158"/>
      </c>
      <c r="J223" s="210">
        <f t="shared" si="159"/>
      </c>
      <c r="K223" s="135">
        <f t="shared" si="160"/>
      </c>
      <c r="L223" s="210">
        <f t="shared" si="169"/>
      </c>
      <c r="M223" s="135">
        <f t="shared" si="161"/>
      </c>
      <c r="N223" s="271">
        <f>IF(AND(K223="",M223=""),"",IF(OR(SUM($O$206:$P$210,K$212:K223,M$212:M223)&lt;=25,AND(SUM($O$206:$P$210,K$211:K222,M$211:M222)&lt;=25,SUM($O$206:$P$210,K$212:K223,M$212:M223)&gt;25)),"O","N"))</f>
      </c>
      <c r="O223" s="300">
        <f>IF(OR(N223="N",N223=""),"",IF(K223="","",IF((25-SUM(O$206:O222,P$206:P222))&gt;K223,K223,25-SUM(O$206:O222,P$206:P222))))</f>
      </c>
      <c r="P223" s="135">
        <f>IF(OR(N223="N",N223=""),"",IF(M223="","",IF(25-SUM($O$206:O223,$P$206:P222)&gt;M223,M223,25-SUM($O$206:O223,$P$206:P222))))</f>
      </c>
      <c r="Q223" s="137">
        <f t="shared" si="162"/>
      </c>
      <c r="R223" s="135">
        <f t="shared" si="163"/>
      </c>
      <c r="S223" s="141">
        <f t="shared" si="164"/>
      </c>
      <c r="T223" s="31">
        <f>IF(N223="O",MAX(T$204:T222)+1,"")</f>
      </c>
      <c r="U223" s="31">
        <f>IF(Q223="O",MAX(U$204:U222)+1,"")</f>
      </c>
      <c r="V223" s="106">
        <f>IF(W223&lt;&gt;"",VLOOKUP($B$20,'Grille IND'!$A$5:$F$653,3,FALSE),"")</f>
      </c>
      <c r="W223" s="106">
        <f t="shared" si="165"/>
      </c>
      <c r="X223" s="107">
        <f>IF(Y223&lt;&gt;"",VLOOKUP($B$20,'Grille IND'!$A$5:$F$653,4,FALSE),"")</f>
      </c>
      <c r="Y223" s="107">
        <f t="shared" si="166"/>
      </c>
      <c r="Z223" s="108">
        <f>IF(AA223&lt;&gt;"",VLOOKUP($B$20,'Grille IND'!$A$5:$F$653,5,FALSE),"")</f>
      </c>
      <c r="AA223" s="108">
        <f t="shared" si="167"/>
      </c>
      <c r="AB223" s="109">
        <f>IF(AC223&lt;&gt;"",VLOOKUP($B$20,'Grille IND'!$A$5:$F$653,6,FALSE),"")</f>
      </c>
      <c r="AC223" s="109">
        <f t="shared" si="168"/>
      </c>
      <c r="AO223" s="105">
        <f t="shared" si="153"/>
      </c>
    </row>
    <row r="224" spans="1:41" ht="15">
      <c r="A224" s="348"/>
      <c r="B224" s="139"/>
      <c r="C224" s="334"/>
      <c r="D224" s="133"/>
      <c r="E224" s="210"/>
      <c r="F224" s="213"/>
      <c r="G224" s="213">
        <f t="shared" si="156"/>
      </c>
      <c r="H224" s="213">
        <f t="shared" si="157"/>
      </c>
      <c r="I224" s="213">
        <f t="shared" si="158"/>
      </c>
      <c r="J224" s="210">
        <f t="shared" si="159"/>
      </c>
      <c r="K224" s="135">
        <f t="shared" si="160"/>
      </c>
      <c r="L224" s="210">
        <f t="shared" si="169"/>
      </c>
      <c r="M224" s="135">
        <f t="shared" si="161"/>
      </c>
      <c r="N224" s="271">
        <f>IF(AND(K224="",M224=""),"",IF(OR(SUM($O$206:$P$210,K$212:K224,M$212:M224)&lt;=25,AND(SUM($O$206:$P$210,K$211:K223,M$211:M223)&lt;=25,SUM($O$206:$P$210,K$212:K224,M$212:M224)&gt;25)),"O","N"))</f>
      </c>
      <c r="O224" s="300">
        <f>IF(OR(N224="N",N224=""),"",IF(K224="","",IF((25-SUM(O$206:O223,P$206:P223))&gt;K224,K224,25-SUM(O$206:O223,P$206:P223))))</f>
      </c>
      <c r="P224" s="135">
        <f>IF(OR(N224="N",N224=""),"",IF(M224="","",IF(25-SUM($O$206:O224,$P$206:P223)&gt;M224,M224,25-SUM($O$206:O224,$P$206:P223))))</f>
      </c>
      <c r="Q224" s="137">
        <f t="shared" si="162"/>
      </c>
      <c r="R224" s="135">
        <f>IF(Q224="","",IF(AND(N224="O",Q224="O"),IF(K224="","",K224-O224),IF(N224="N",IF(K224="","",K224),"")))</f>
      </c>
      <c r="S224" s="141">
        <f t="shared" si="164"/>
      </c>
      <c r="T224" s="31">
        <f>IF(N224="O",MAX(T$204:T223)+1,"")</f>
      </c>
      <c r="U224" s="31">
        <f>IF(Q224="O",MAX(U$204:U223)+1,"")</f>
      </c>
      <c r="V224" s="106">
        <f>IF(W224&lt;&gt;"",VLOOKUP($B$20,'Grille IND'!$A$5:$F$653,3,FALSE),"")</f>
      </c>
      <c r="W224" s="106">
        <f t="shared" si="165"/>
      </c>
      <c r="X224" s="107">
        <f>IF(Y224&lt;&gt;"",VLOOKUP($B$20,'Grille IND'!$A$5:$F$653,4,FALSE),"")</f>
      </c>
      <c r="Y224" s="107">
        <f t="shared" si="166"/>
      </c>
      <c r="Z224" s="108">
        <f>IF(AA224&lt;&gt;"",VLOOKUP($B$20,'Grille IND'!$A$5:$F$653,5,FALSE),"")</f>
      </c>
      <c r="AA224" s="108">
        <f t="shared" si="167"/>
      </c>
      <c r="AB224" s="109">
        <f>IF(AC224&lt;&gt;"",VLOOKUP($B$20,'Grille IND'!$A$5:$F$653,6,FALSE),"")</f>
      </c>
      <c r="AC224" s="109">
        <f t="shared" si="168"/>
      </c>
      <c r="AO224" s="105">
        <f t="shared" si="153"/>
      </c>
    </row>
    <row r="225" spans="1:41" ht="18" thickBot="1">
      <c r="A225" s="349"/>
      <c r="B225" s="183"/>
      <c r="C225" s="334"/>
      <c r="D225" s="199"/>
      <c r="E225" s="234"/>
      <c r="F225" s="235"/>
      <c r="G225" s="235"/>
      <c r="H225" s="351" t="s">
        <v>29</v>
      </c>
      <c r="I225" s="351"/>
      <c r="J225" s="211">
        <f>SUM(J212:J221)</f>
        <v>0.01388888888888884</v>
      </c>
      <c r="K225" s="165">
        <f>SUM(K206:K224)</f>
        <v>1.3333333333333326</v>
      </c>
      <c r="L225" s="211">
        <f>SUM(L212:L221)</f>
        <v>1.2291666666666665</v>
      </c>
      <c r="M225" s="165">
        <f>SUM(M206:M224)</f>
        <v>43.083333333333336</v>
      </c>
      <c r="N225" s="166"/>
      <c r="O225" s="336">
        <f>SUM(O210:P224)</f>
        <v>14.81666666666667</v>
      </c>
      <c r="P225" s="336"/>
      <c r="Q225" s="177"/>
      <c r="R225" s="257">
        <f>SUM(R210:R224)</f>
        <v>0.33333333333333215</v>
      </c>
      <c r="S225" s="257">
        <f>SUM(S210:S224)</f>
        <v>14.683333333333326</v>
      </c>
      <c r="V225" s="239"/>
      <c r="W225" s="239">
        <f>SUM(W206:W224)</f>
        <v>21.25</v>
      </c>
      <c r="X225" s="240"/>
      <c r="Y225" s="240">
        <f>SUM(Y206:Y224)</f>
        <v>0</v>
      </c>
      <c r="Z225" s="241"/>
      <c r="AA225" s="241">
        <f>SUM(AA206:AA224)</f>
        <v>2.750000000000001</v>
      </c>
      <c r="AB225" s="242"/>
      <c r="AC225" s="242">
        <f>SUM(AC206:AC224)</f>
        <v>1.0000000000000004</v>
      </c>
      <c r="AO225" s="105">
        <f t="shared" si="153"/>
      </c>
    </row>
    <row r="226" spans="1:41" ht="19.5" customHeight="1" thickBot="1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4"/>
      <c r="V226" s="239"/>
      <c r="W226" s="239">
        <f>SUMPRODUCT(V206:V224,W206:W224)</f>
        <v>338.0875</v>
      </c>
      <c r="X226" s="240"/>
      <c r="Y226" s="240">
        <f>SUMPRODUCT(X206:X224,Y206:Y224)</f>
        <v>0</v>
      </c>
      <c r="Z226" s="241"/>
      <c r="AA226" s="241">
        <f>SUMPRODUCT(Z206:Z224,AA206:AA224)</f>
        <v>72.93000000000002</v>
      </c>
      <c r="AB226" s="242"/>
      <c r="AC226" s="242">
        <f>SUMPRODUCT(AB206:AB224,AC206:AC224)</f>
        <v>31.820000000000014</v>
      </c>
      <c r="AO226" s="105">
        <f t="shared" si="153"/>
      </c>
    </row>
    <row r="227" spans="1:41" ht="15">
      <c r="A227" s="337" t="s">
        <v>30</v>
      </c>
      <c r="B227" s="320">
        <f>VLOOKUP($B$1,INFOS!A:AU,39,FALSE)</f>
        <v>457</v>
      </c>
      <c r="C227" s="338" t="s">
        <v>31</v>
      </c>
      <c r="D227" s="405" t="s">
        <v>170</v>
      </c>
      <c r="E227" s="398"/>
      <c r="F227" s="398"/>
      <c r="G227" s="398"/>
      <c r="H227" s="398"/>
      <c r="I227" s="398"/>
      <c r="J227" s="398"/>
      <c r="K227" s="398"/>
      <c r="L227" s="398"/>
      <c r="M227" s="399"/>
      <c r="N227" s="339" t="s">
        <v>32</v>
      </c>
      <c r="O227" s="340"/>
      <c r="P227" s="340"/>
      <c r="Q227" s="341"/>
      <c r="R227" s="345">
        <f>R225</f>
        <v>0.33333333333333215</v>
      </c>
      <c r="S227" s="331">
        <f>S225</f>
        <v>14.683333333333326</v>
      </c>
      <c r="V227" s="255"/>
      <c r="W227" s="256"/>
      <c r="X227" s="256"/>
      <c r="Y227" s="256"/>
      <c r="Z227" s="256"/>
      <c r="AA227" s="256"/>
      <c r="AB227" s="256"/>
      <c r="AC227" s="256"/>
      <c r="AO227" s="397"/>
    </row>
    <row r="228" spans="1:41" ht="15">
      <c r="A228" s="337"/>
      <c r="B228" s="321">
        <f>VLOOKUP($B$1,INFOS!A:AU,40,FALSE)</f>
        <v>1</v>
      </c>
      <c r="C228" s="338"/>
      <c r="D228" s="408"/>
      <c r="E228" s="408"/>
      <c r="F228" s="408"/>
      <c r="G228" s="408"/>
      <c r="H228" s="408"/>
      <c r="I228" s="408"/>
      <c r="J228" s="408"/>
      <c r="K228" s="408"/>
      <c r="L228" s="408"/>
      <c r="M228" s="409"/>
      <c r="N228" s="342"/>
      <c r="O228" s="343"/>
      <c r="P228" s="343"/>
      <c r="Q228" s="344"/>
      <c r="R228" s="346"/>
      <c r="S228" s="332"/>
      <c r="V228" s="34"/>
      <c r="X228" s="34"/>
      <c r="Y228" s="34"/>
      <c r="Z228" s="34"/>
      <c r="AA228" s="34"/>
      <c r="AB228" s="34"/>
      <c r="AC228" s="34"/>
      <c r="AO228" s="397"/>
    </row>
    <row r="229" spans="1:41" ht="15">
      <c r="A229" s="337"/>
      <c r="B229" s="333" t="str">
        <f>VLOOKUP($B$1,INFOS!A:AU,9,FALSE)</f>
        <v>Direction Générale des Services</v>
      </c>
      <c r="C229" s="338"/>
      <c r="D229" s="171">
        <f>IF(ROWS($D$229:D229)&lt;=MAX($U$206:$U$224),INDEX($D$206:$D$224,MATCH(ROWS($D$229:D229),$U$206:$U$224,0)),"")</f>
        <v>43141</v>
      </c>
      <c r="E229" s="209">
        <f aca="true" t="shared" si="170" ref="E229:M233">IF($D229&lt;&gt;"",_xlfn.IFERROR(VLOOKUP($D229,$D$212:$S$224,COLUMN(B$1),0),""),"")</f>
        <v>0.34375</v>
      </c>
      <c r="F229" s="209">
        <f t="shared" si="170"/>
        <v>0.8541666666666666</v>
      </c>
      <c r="G229" s="209">
        <f t="shared" si="170"/>
        <v>0.5104166666666666</v>
      </c>
      <c r="H229" s="209">
        <f t="shared" si="170"/>
      </c>
      <c r="I229" s="209">
        <f t="shared" si="170"/>
      </c>
      <c r="J229" s="209">
        <f t="shared" si="170"/>
      </c>
      <c r="K229" s="160">
        <f t="shared" si="170"/>
      </c>
      <c r="L229" s="209">
        <f t="shared" si="170"/>
        <v>0.5104166666666666</v>
      </c>
      <c r="M229" s="160">
        <f t="shared" si="170"/>
        <v>12.25</v>
      </c>
      <c r="N229" s="273" t="str">
        <f>IF(OR(O229&lt;&gt;"",P229&lt;&gt;""),"O","")</f>
        <v>O</v>
      </c>
      <c r="O229" s="274">
        <f>IF(D229&lt;&gt;"",_xlfn.IFERROR(VLOOKUP($D229,$D$212:$S$224,COLUMN(O$1),0),""),"")</f>
      </c>
      <c r="P229" s="274">
        <f>IF(D229&lt;&gt;"",_xlfn.IFERROR(VLOOKUP($D229,$D$212:$S$224,COLUMN(P$1),0),""),"")</f>
        <v>2.43333333333333</v>
      </c>
      <c r="Q229" s="275"/>
      <c r="R229" s="275"/>
      <c r="S229" s="276"/>
      <c r="T229" s="31">
        <f>IF(N229="O",MAX(T$227:T228)+1,"")</f>
        <v>1</v>
      </c>
      <c r="U229" s="31">
        <f>IF(Q229="O",MAX(U$227:U228)+1,"")</f>
      </c>
      <c r="V229" s="106">
        <f>IF(W229&lt;&gt;"",VLOOKUP($B$20,'Grille IND'!$A$5:$F$653,3,FALSE),"")</f>
        <v>15.91</v>
      </c>
      <c r="W229" s="106">
        <f>IF(T229="","",IF(OR(AO229="D",AO229="F"),"",IF(OR(AND(N229="O",Q229="",P229&lt;=14),AND(N229="O",Q229="O",P229&lt;=14)),P229,14)))</f>
        <v>2.43333333333333</v>
      </c>
      <c r="X229" s="107">
        <f>IF(Y229&lt;&gt;"",VLOOKUP($B$20,'Grille IND'!$A$5:$F$653,4,FALSE),"")</f>
      </c>
      <c r="Y229" s="107">
        <f>IF(T229="","",IF(OR(AO229="D",AO229="F"),"",IF(OR(AND(N229="O",Q229="",P229&gt;14),AND(N229="O",Q229="O",P229&gt;14)),P229-14,"")))</f>
      </c>
      <c r="Z229" s="108">
        <f>IF(AA229&lt;&gt;"",VLOOKUP($B$20,'Grille IND'!$A$5:$F$653,5,FALSE),"")</f>
      </c>
      <c r="AA229" s="108">
        <f>IF(T229="","",IF(OR(AND(OR(AO229="D",AO229="F"),N229="O",Q229=""),AND(OR(AO229="D",AO229="F"),N229="O",Q229="O")),P229,""))</f>
      </c>
      <c r="AB229" s="109">
        <f>IF(AC229&lt;&gt;"",VLOOKUP($B$20,'Grille IND'!$A$5:$F$653,6,FALSE),"")</f>
      </c>
      <c r="AC229" s="109">
        <f>IF(T229="","",IF(O229="","",O229))</f>
      </c>
      <c r="AO229" s="105">
        <f t="shared" si="153"/>
      </c>
    </row>
    <row r="230" spans="1:41" ht="15">
      <c r="A230" s="337"/>
      <c r="B230" s="333"/>
      <c r="C230" s="338"/>
      <c r="D230" s="171">
        <f>IF(ROWS($D$229:D230)&lt;=MAX($U$206:$U$224),INDEX($D$206:$D$224,MATCH(ROWS($D$229:D230),$U$206:$U$224,0)),"")</f>
        <v>43142</v>
      </c>
      <c r="E230" s="209">
        <f t="shared" si="170"/>
        <v>0.2916666666666667</v>
      </c>
      <c r="F230" s="209">
        <f t="shared" si="170"/>
        <v>0.5104166666666666</v>
      </c>
      <c r="G230" s="209">
        <f t="shared" si="170"/>
        <v>0.21874999999999994</v>
      </c>
      <c r="H230" s="209">
        <f t="shared" si="170"/>
      </c>
      <c r="I230" s="209">
        <f t="shared" si="170"/>
      </c>
      <c r="J230" s="209">
        <f t="shared" si="170"/>
      </c>
      <c r="K230" s="160">
        <f t="shared" si="170"/>
      </c>
      <c r="L230" s="209">
        <f t="shared" si="170"/>
        <v>0.21874999999999994</v>
      </c>
      <c r="M230" s="160">
        <f t="shared" si="170"/>
        <v>5.249999999999998</v>
      </c>
      <c r="N230" s="277" t="str">
        <f>IF(OR(O230&lt;&gt;"",P230&lt;&gt;""),"O","")</f>
        <v>O</v>
      </c>
      <c r="O230" s="279">
        <f>IF(D230&lt;&gt;"",_xlfn.IFERROR(VLOOKUP($D230,$D$212:$S$224,COLUMN(O$1),0),""),"")</f>
      </c>
      <c r="P230" s="279">
        <f>IF(D230&lt;&gt;"",_xlfn.IFERROR(VLOOKUP($D230,$D$212:$S$224,COLUMN(P$1),0),""),"")</f>
        <v>5.249999999999998</v>
      </c>
      <c r="Q230" s="278"/>
      <c r="R230" s="278"/>
      <c r="S230" s="280"/>
      <c r="T230" s="31">
        <f>IF(N230="O",MAX(T$227:T229)+1,"")</f>
        <v>2</v>
      </c>
      <c r="U230" s="31">
        <f>IF(Q230="O",MAX(U$227:U229)+1,"")</f>
      </c>
      <c r="V230" s="106">
        <f>IF(W230&lt;&gt;"",VLOOKUP($B$20,'Grille IND'!$A$5:$F$653,3,FALSE),"")</f>
      </c>
      <c r="W230" s="106">
        <f>IF(T230="","",IF(OR(AO230="D",AO230="F"),"",IF(OR(AND(N230="O",Q230="",P230&lt;=14),AND(N230="O",Q230="O",P230&lt;=14)),P230,14)))</f>
      </c>
      <c r="X230" s="107">
        <f>IF(Y230&lt;&gt;"",VLOOKUP($B$20,'Grille IND'!$A$5:$F$653,4,FALSE),"")</f>
      </c>
      <c r="Y230" s="107">
        <f>IF(T230="","",IF(OR(AO230="D",AO230="F"),"",IF(OR(AND(N230="O",Q230="",P230&gt;14),AND(N230="O",Q230="O",P230&gt;14)),P230-14,"")))</f>
      </c>
      <c r="Z230" s="108">
        <f>IF(AA230&lt;&gt;"",VLOOKUP($B$20,'Grille IND'!$A$5:$F$653,5,FALSE),"")</f>
        <v>26.52</v>
      </c>
      <c r="AA230" s="108">
        <f>IF(T230="","",IF(OR(AND(OR(AO230="D",AO230="F"),N230="O",Q230=""),AND(OR(AO230="D",AO230="F"),N230="O",Q230="O")),P230,""))</f>
        <v>5.249999999999998</v>
      </c>
      <c r="AB230" s="109">
        <f>IF(AC230&lt;&gt;"",VLOOKUP($B$20,'Grille IND'!$A$5:$F$653,6,FALSE),"")</f>
      </c>
      <c r="AC230" s="109">
        <f>IF(T230="","",IF(O230="","",O230))</f>
      </c>
      <c r="AO230" s="105" t="str">
        <f t="shared" si="153"/>
        <v>D</v>
      </c>
    </row>
    <row r="231" spans="1:41" ht="15">
      <c r="A231" s="337"/>
      <c r="B231" s="139"/>
      <c r="C231" s="338"/>
      <c r="D231" s="171">
        <f>IF(ROWS($D$229:D231)&lt;=MAX($U$206:$U$224),INDEX($D$206:$D$224,MATCH(ROWS($D$229:D231),$U$206:$U$224,0)),"")</f>
        <v>43156</v>
      </c>
      <c r="E231" s="209">
        <f t="shared" si="170"/>
        <v>0.625</v>
      </c>
      <c r="F231" s="209">
        <f t="shared" si="170"/>
        <v>0.9305555555555555</v>
      </c>
      <c r="G231" s="209">
        <f t="shared" si="170"/>
        <v>0.30555555555555547</v>
      </c>
      <c r="H231" s="209">
        <f t="shared" si="170"/>
      </c>
      <c r="I231" s="209">
        <f t="shared" si="170"/>
        <v>0.01388888888888884</v>
      </c>
      <c r="J231" s="209">
        <f t="shared" si="170"/>
        <v>0.01388888888888884</v>
      </c>
      <c r="K231" s="160">
        <f t="shared" si="170"/>
        <v>0.33333333333333215</v>
      </c>
      <c r="L231" s="209">
        <f t="shared" si="170"/>
        <v>0.29166666666666663</v>
      </c>
      <c r="M231" s="160">
        <f t="shared" si="170"/>
        <v>6.999999999999999</v>
      </c>
      <c r="N231" s="277" t="str">
        <f>IF(OR(O231&lt;&gt;"",P231&lt;&gt;""),"O","")</f>
        <v>O</v>
      </c>
      <c r="O231" s="279">
        <f>IF(D231&lt;&gt;"",_xlfn.IFERROR(VLOOKUP($D231,$D$212:$S$224,COLUMN(O$1),0),""),"")</f>
        <v>0.33333333333333215</v>
      </c>
      <c r="P231" s="279">
        <f>IF(D231&lt;&gt;"",_xlfn.IFERROR(VLOOKUP($D231,$D$212:$S$224,COLUMN(P$1),0),""),"")</f>
        <v>6.999999999999999</v>
      </c>
      <c r="Q231" s="278"/>
      <c r="R231" s="278"/>
      <c r="S231" s="280"/>
      <c r="T231" s="31">
        <f>IF(N231="O",MAX(T$227:T230)+1,"")</f>
        <v>3</v>
      </c>
      <c r="U231" s="31">
        <f>IF(Q231="O",MAX(U$227:U230)+1,"")</f>
      </c>
      <c r="V231" s="106">
        <f>IF(W231&lt;&gt;"",VLOOKUP($B$20,'Grille IND'!$A$5:$F$653,3,FALSE),"")</f>
      </c>
      <c r="W231" s="106">
        <f>IF(T231="","",IF(OR(AO231="D",AO231="F"),"",IF(OR(AND(N231="O",Q231="",P231&lt;=14),AND(N231="O",Q231="O",P231&lt;=14)),P231,14)))</f>
      </c>
      <c r="X231" s="107">
        <f>IF(Y231&lt;&gt;"",VLOOKUP($B$20,'Grille IND'!$A$5:$F$653,4,FALSE),"")</f>
      </c>
      <c r="Y231" s="107">
        <f>IF(T231="","",IF(OR(AO231="D",AO231="F"),"",IF(OR(AND(N231="O",Q231="",P231&gt;14),AND(N231="O",Q231="O",P231&gt;14)),P231-14,"")))</f>
      </c>
      <c r="Z231" s="108">
        <f>IF(AA231&lt;&gt;"",VLOOKUP($B$20,'Grille IND'!$A$5:$F$653,5,FALSE),"")</f>
        <v>26.52</v>
      </c>
      <c r="AA231" s="108">
        <f>IF(T231="","",IF(OR(AND(OR(AO231="D",AO231="F"),N231="O",Q231=""),AND(OR(AO231="D",AO231="F"),N231="O",Q231="O")),P231,""))</f>
        <v>6.999999999999999</v>
      </c>
      <c r="AB231" s="109">
        <f>IF(AC231&lt;&gt;"",VLOOKUP($B$20,'Grille IND'!$A$5:$F$653,6,FALSE),"")</f>
        <v>31.82</v>
      </c>
      <c r="AC231" s="109">
        <f>IF(T231="","",IF(O231="","",O231))</f>
        <v>0.33333333333333215</v>
      </c>
      <c r="AO231" s="105" t="str">
        <f t="shared" si="153"/>
        <v>D</v>
      </c>
    </row>
    <row r="232" spans="1:41" ht="15">
      <c r="A232" s="337"/>
      <c r="B232" s="139"/>
      <c r="C232" s="338"/>
      <c r="D232" s="171">
        <f>IF(ROWS($D$229:D232)&lt;=MAX($U$206:$U$224),INDEX($D$206:$D$224,MATCH(ROWS($D$229:D232),$U$206:$U$224,0)),"")</f>
      </c>
      <c r="E232" s="209">
        <f t="shared" si="170"/>
      </c>
      <c r="F232" s="209">
        <f t="shared" si="170"/>
      </c>
      <c r="G232" s="209">
        <f t="shared" si="170"/>
      </c>
      <c r="H232" s="209">
        <f t="shared" si="170"/>
      </c>
      <c r="I232" s="209">
        <f t="shared" si="170"/>
      </c>
      <c r="J232" s="209">
        <f t="shared" si="170"/>
      </c>
      <c r="K232" s="160">
        <f t="shared" si="170"/>
      </c>
      <c r="L232" s="209">
        <f t="shared" si="170"/>
      </c>
      <c r="M232" s="160">
        <f t="shared" si="170"/>
      </c>
      <c r="N232" s="277">
        <f>IF(OR(O232&lt;&gt;"",P232&lt;&gt;""),"O","")</f>
      </c>
      <c r="O232" s="279">
        <f>IF(D232&lt;&gt;"",_xlfn.IFERROR(VLOOKUP($D232,$D$212:$S$224,COLUMN(O$1),0),""),"")</f>
      </c>
      <c r="P232" s="279">
        <f>IF(D232&lt;&gt;"",_xlfn.IFERROR(VLOOKUP($D232,$D$212:$S$224,COLUMN(P$1),0),""),"")</f>
      </c>
      <c r="Q232" s="278"/>
      <c r="R232" s="278"/>
      <c r="S232" s="280"/>
      <c r="T232" s="31">
        <f>IF(N232="O",MAX(T$227:T231)+1,"")</f>
      </c>
      <c r="U232" s="31">
        <f>IF(Q232="O",MAX(U$227:U231)+1,"")</f>
      </c>
      <c r="V232" s="106">
        <f>IF(W232&lt;&gt;"",VLOOKUP($B$20,'Grille IND'!$A$5:$F$653,3,FALSE),"")</f>
      </c>
      <c r="W232" s="106">
        <f>IF(T232="","",IF(OR(AO232="D",AO232="F"),"",IF(OR(AND(N232="O",Q232="",P232&lt;=14),AND(N232="O",Q232="O",P232&lt;=14)),P232,14)))</f>
      </c>
      <c r="X232" s="107">
        <f>IF(Y232&lt;&gt;"",VLOOKUP($B$20,'Grille IND'!$A$5:$F$653,4,FALSE),"")</f>
      </c>
      <c r="Y232" s="107">
        <f>IF(T232="","",IF(OR(AO232="D",AO232="F"),"",IF(OR(AND(N232="O",Q232="",P232&gt;14),AND(N232="O",Q232="O",P232&gt;14)),P232-14,"")))</f>
      </c>
      <c r="Z232" s="108">
        <f>IF(AA232&lt;&gt;"",VLOOKUP($B$20,'Grille IND'!$A$5:$F$653,5,FALSE),"")</f>
      </c>
      <c r="AA232" s="108">
        <f>IF(T232="","",IF(OR(AND(OR(AO232="D",AO232="F"),N232="O",Q232=""),AND(OR(AO232="D",AO232="F"),N232="O",Q232="O")),P232,""))</f>
      </c>
      <c r="AB232" s="109">
        <f>IF(AC232&lt;&gt;"",VLOOKUP($B$20,'Grille IND'!$A$5:$F$653,6,FALSE),"")</f>
      </c>
      <c r="AC232" s="109">
        <f>IF(T232="","",IF(O232="","",O232))</f>
      </c>
      <c r="AO232" s="105">
        <f t="shared" si="153"/>
      </c>
    </row>
    <row r="233" spans="1:41" ht="15">
      <c r="A233" s="337"/>
      <c r="B233" s="139"/>
      <c r="C233" s="338"/>
      <c r="D233" s="171">
        <f>IF(ROWS($D$229:D233)&lt;=MAX($U$206:$U$224),INDEX($D$206:$D$224,MATCH(ROWS($D$229:D233),$U$206:$U$224,0)),"")</f>
      </c>
      <c r="E233" s="209">
        <f t="shared" si="170"/>
      </c>
      <c r="F233" s="209">
        <f t="shared" si="170"/>
      </c>
      <c r="G233" s="209">
        <f t="shared" si="170"/>
      </c>
      <c r="H233" s="209">
        <f t="shared" si="170"/>
      </c>
      <c r="I233" s="209">
        <f t="shared" si="170"/>
      </c>
      <c r="J233" s="209">
        <f t="shared" si="170"/>
      </c>
      <c r="K233" s="160">
        <f t="shared" si="170"/>
      </c>
      <c r="L233" s="209">
        <f t="shared" si="170"/>
      </c>
      <c r="M233" s="160">
        <f t="shared" si="170"/>
      </c>
      <c r="N233" s="277">
        <f>IF(OR(O233&lt;&gt;"",P233&lt;&gt;""),"O","")</f>
      </c>
      <c r="O233" s="279">
        <f>IF(D233&lt;&gt;"",_xlfn.IFERROR(VLOOKUP($D233,$D$212:$S$224,COLUMN(O$1),0),""),"")</f>
      </c>
      <c r="P233" s="279">
        <f>IF(D233&lt;&gt;"",_xlfn.IFERROR(VLOOKUP($D233,$D$212:$S$224,COLUMN(P$1),0),""),"")</f>
      </c>
      <c r="Q233" s="278"/>
      <c r="R233" s="278"/>
      <c r="S233" s="280"/>
      <c r="T233" s="31">
        <f>IF(N233="O",MAX(T$227:T232)+1,"")</f>
      </c>
      <c r="U233" s="31">
        <f>IF(Q233="O",MAX(U$227:U232)+1,"")</f>
      </c>
      <c r="V233" s="106">
        <f>IF(W233&lt;&gt;"",VLOOKUP($B$20,'Grille IND'!$A$5:$F$653,3,FALSE),"")</f>
      </c>
      <c r="W233" s="106">
        <f>IF(T233="","",IF(OR(AO233="D",AO233="F"),"",IF(OR(AND(N233="O",Q233="",P233&lt;=14),AND(N233="O",Q233="O",P233&lt;=14)),P233,14)))</f>
      </c>
      <c r="X233" s="107">
        <f>IF(Y233&lt;&gt;"",VLOOKUP($B$20,'Grille IND'!$A$5:$F$653,4,FALSE),"")</f>
      </c>
      <c r="Y233" s="107">
        <f>IF(T233="","",IF(OR(AO233="D",AO233="F"),"",IF(OR(AND(N233="O",Q233="",P233&gt;14),AND(N233="O",Q233="O",P233&gt;14)),P233-14,"")))</f>
      </c>
      <c r="Z233" s="108">
        <f>IF(AA233&lt;&gt;"",VLOOKUP($B$20,'Grille IND'!$A$5:$F$653,5,FALSE),"")</f>
      </c>
      <c r="AA233" s="108">
        <f>IF(T233="","",IF(OR(AND(OR(AO233="D",AO233="F"),N233="O",Q233=""),AND(OR(AO233="D",AO233="F"),N233="O",Q233="O")),P233,""))</f>
      </c>
      <c r="AB233" s="109">
        <f>IF(AC233&lt;&gt;"",VLOOKUP($B$20,'Grille IND'!$A$5:$F$653,6,FALSE),"")</f>
      </c>
      <c r="AC233" s="109">
        <f>IF(T233="","",IF(O233="","",O233))</f>
      </c>
      <c r="AO233" s="105">
        <f t="shared" si="153"/>
      </c>
    </row>
    <row r="234" spans="1:41" ht="15">
      <c r="A234" s="337"/>
      <c r="B234" s="139"/>
      <c r="C234" s="338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2"/>
      <c r="T234" s="31">
        <f>IF(N234="O",MAX(T$227:T233)+1,"")</f>
      </c>
      <c r="U234" s="31">
        <f>IF(Q234="O",MAX(U$227:U233)+1,"")</f>
      </c>
      <c r="V234" s="238"/>
      <c r="W234" s="238"/>
      <c r="X234" s="252"/>
      <c r="Y234" s="252"/>
      <c r="Z234" s="253"/>
      <c r="AA234" s="253"/>
      <c r="AB234" s="254"/>
      <c r="AC234" s="254"/>
      <c r="AO234" s="105">
        <f t="shared" si="153"/>
      </c>
    </row>
    <row r="235" spans="1:41" ht="14.25" customHeight="1">
      <c r="A235" s="337"/>
      <c r="B235" s="139"/>
      <c r="C235" s="334" t="s">
        <v>27</v>
      </c>
      <c r="D235" s="133">
        <v>43164</v>
      </c>
      <c r="E235" s="210">
        <v>0.3333333333333333</v>
      </c>
      <c r="F235" s="213">
        <v>0.5416666666666666</v>
      </c>
      <c r="G235" s="213">
        <f aca="true" t="shared" si="171" ref="G235:G247">IF(AND(E235="",F235=""),"",MOD(F235-E235,1))</f>
        <v>0.20833333333333331</v>
      </c>
      <c r="H235" s="213">
        <f aca="true" t="shared" si="172" ref="H235:H247">IF(E235="","",IF($E235&lt;$AJ$3,$AJ$3-$E235,""))</f>
      </c>
      <c r="I235" s="213">
        <f aca="true" t="shared" si="173" ref="I235:I247">IF(F235="","",IF($F235&gt;$AK$3,$F235-$AK$3,""))</f>
      </c>
      <c r="J235" s="210">
        <f aca="true" t="shared" si="174" ref="J235:J247">IF(AND(H235="",I235=""),"",SUM(H235,I235))</f>
      </c>
      <c r="K235" s="135">
        <f aca="true" t="shared" si="175" ref="K235:K247">IF(J235="","",J235*24)</f>
      </c>
      <c r="L235" s="210">
        <f>IF(AND(E235="",F235=""),"",IF(J235&lt;&gt;"",G235-J235,G235))</f>
        <v>0.20833333333333331</v>
      </c>
      <c r="M235" s="135">
        <f aca="true" t="shared" si="176" ref="M235:M247">IF(L235="","",L235*24)</f>
        <v>5</v>
      </c>
      <c r="N235" s="272" t="str">
        <f>IF(AND(K235="",M235=""),"",IF(OR(SUM($O$229:$P$233,K$235:K235,M$235:M235)&lt;=25,AND(SUM($O$229:$P$233,K$234:K234,M$234:M234)&lt;=25,SUM($O$229:$P$233,K$235:K235,M$235:M235)&gt;25)),"O","N"))</f>
        <v>O</v>
      </c>
      <c r="O235" s="135">
        <f>IF(OR(N235="N",N235=""),"",IF(K235="","",IF((25-SUM(O$229:O234,P$229:P234))&gt;K235,K235,25-SUM(O$229:O234,P$229:P234))))</f>
      </c>
      <c r="P235" s="135">
        <f>IF(OR(N235="N",N235=""),"",IF(M235="","",IF(25-SUM($O$229:O235,$P$229:P234)&gt;M235,M235,25-SUM($O$229:O235,$P$229:P234))))</f>
        <v>5</v>
      </c>
      <c r="Q235" s="137">
        <f aca="true" t="shared" si="177" ref="Q235:Q247">IF(AND(N235="O",SUM(O235,P235)=SUM(K235,M235)),"",IF(AND(N235="O",SUM(O235,P235)&lt;SUM(K235,M235)),"O",IF(N235="N","O","")))</f>
      </c>
      <c r="R235" s="135">
        <f aca="true" t="shared" si="178" ref="R235:R247">IF(Q235="","",IF(AND(N235="O",Q235="O"),IF(K235="","",K235-O235),IF(N235="N",IF(K235="","",K235),"")))</f>
      </c>
      <c r="S235" s="141">
        <f aca="true" t="shared" si="179" ref="S235:S247">IF(Q235="","",IF(AND(N235="O",Q235="O"),IF(M235="","",M235-P235),IF(N235="N",IF(M235="","",M235),"")))</f>
      </c>
      <c r="T235" s="31">
        <f>IF(N235="O",MAX(T$227:T234)+1,"")</f>
        <v>4</v>
      </c>
      <c r="U235" s="31">
        <f>IF(Q235="O",MAX(U$227:U234)+1,"")</f>
      </c>
      <c r="V235" s="106">
        <f>IF(W235&lt;&gt;"",VLOOKUP($B$20,'Grille IND'!$A$5:$F$653,3,FALSE),"")</f>
        <v>15.91</v>
      </c>
      <c r="W235" s="106">
        <f aca="true" t="shared" si="180" ref="W235:W247">IF(T235="","",IF(OR(AO235="D",AO235="F"),"",IF(OR(AND(N235="O",Q235="",P235&lt;=14),AND(N235="O",Q235="O",P235&lt;=14)),P235,14)))</f>
        <v>5</v>
      </c>
      <c r="X235" s="107">
        <f>IF(Y235&lt;&gt;"",VLOOKUP($B$20,'Grille IND'!$A$5:$F$653,4,FALSE),"")</f>
      </c>
      <c r="Y235" s="107">
        <f aca="true" t="shared" si="181" ref="Y235:Y247">IF(T235="","",IF(OR(AO235="D",AO235="F"),"",IF(OR(AND(N235="O",Q235="",P235&gt;14),AND(N235="O",Q235="O",P235&gt;14)),P235-14,"")))</f>
      </c>
      <c r="Z235" s="108">
        <f>IF(AA235&lt;&gt;"",VLOOKUP($B$20,'Grille IND'!$A$5:$F$653,5,FALSE),"")</f>
      </c>
      <c r="AA235" s="108">
        <f aca="true" t="shared" si="182" ref="AA235:AA247">IF(T235="","",IF(OR(AND(OR(AO235="D",AO235="F"),N235="O",Q235=""),AND(OR(AO235="D",AO235="F"),N235="O",Q235="O")),P235,""))</f>
      </c>
      <c r="AB235" s="109">
        <f>IF(AC235&lt;&gt;"",VLOOKUP($B$20,'Grille IND'!$A$5:$F$653,6,FALSE),"")</f>
      </c>
      <c r="AC235" s="109">
        <f aca="true" t="shared" si="183" ref="AC235:AC247">IF(T235="","",IF(O235="","",O235))</f>
      </c>
      <c r="AO235" s="105">
        <f t="shared" si="153"/>
      </c>
    </row>
    <row r="236" spans="1:41" ht="15">
      <c r="A236" s="337"/>
      <c r="B236" s="139"/>
      <c r="C236" s="334"/>
      <c r="D236" s="133">
        <v>43169</v>
      </c>
      <c r="E236" s="210">
        <v>0.34375</v>
      </c>
      <c r="F236" s="213">
        <v>0.6875</v>
      </c>
      <c r="G236" s="213">
        <f t="shared" si="171"/>
        <v>0.34375</v>
      </c>
      <c r="H236" s="213">
        <f t="shared" si="172"/>
      </c>
      <c r="I236" s="213">
        <f t="shared" si="173"/>
      </c>
      <c r="J236" s="210">
        <f t="shared" si="174"/>
      </c>
      <c r="K236" s="135">
        <f t="shared" si="175"/>
      </c>
      <c r="L236" s="210">
        <f aca="true" t="shared" si="184" ref="L236:L247">IF(AND(E236="",F236=""),"",IF(J236&lt;&gt;"",G236-J236,G236))</f>
        <v>0.34375</v>
      </c>
      <c r="M236" s="135">
        <f t="shared" si="176"/>
        <v>8.25</v>
      </c>
      <c r="N236" s="272" t="str">
        <f>IF(AND(K236="",M236=""),"",IF(OR(SUM($O$229:$P$233,K$235:K236,M$235:M236)&lt;=25,AND(SUM($O$229:$P$233,K$234:K235,M$234:M235)&lt;=25,SUM($O$229:$P$233,K$235:K236,M$235:M236)&gt;25)),"O","N"))</f>
        <v>O</v>
      </c>
      <c r="O236" s="135">
        <f>IF(OR(N236="N",N236=""),"",IF(K236="","",IF((25-SUM(O$229:O235,P$229:P235))&gt;K236,K236,25-SUM(O$229:O235,P$229:P235))))</f>
      </c>
      <c r="P236" s="135">
        <f>IF(OR(N236="N",N236=""),"",IF(M236="","",IF(25-SUM($O$229:O236,$P$229:P235)&gt;M236,M236,25-SUM($O$229:O236,$P$229:P235))))</f>
        <v>4.983333333333341</v>
      </c>
      <c r="Q236" s="137" t="str">
        <f t="shared" si="177"/>
        <v>O</v>
      </c>
      <c r="R236" s="135">
        <f t="shared" si="178"/>
      </c>
      <c r="S236" s="141">
        <f t="shared" si="179"/>
        <v>3.2666666666666586</v>
      </c>
      <c r="T236" s="31">
        <f>IF(N236="O",MAX(T$227:T235)+1,"")</f>
        <v>5</v>
      </c>
      <c r="U236" s="31">
        <f>IF(Q236="O",MAX(U$227:U235)+1,"")</f>
        <v>1</v>
      </c>
      <c r="V236" s="106">
        <f>IF(W236&lt;&gt;"",VLOOKUP($B$20,'Grille IND'!$A$5:$F$653,3,FALSE),"")</f>
        <v>15.91</v>
      </c>
      <c r="W236" s="106">
        <f t="shared" si="180"/>
        <v>4.983333333333341</v>
      </c>
      <c r="X236" s="107">
        <f>IF(Y236&lt;&gt;"",VLOOKUP($B$20,'Grille IND'!$A$5:$F$653,4,FALSE),"")</f>
      </c>
      <c r="Y236" s="107">
        <f t="shared" si="181"/>
      </c>
      <c r="Z236" s="108">
        <f>IF(AA236&lt;&gt;"",VLOOKUP($B$20,'Grille IND'!$A$5:$F$653,5,FALSE),"")</f>
      </c>
      <c r="AA236" s="108">
        <f t="shared" si="182"/>
      </c>
      <c r="AB236" s="109">
        <f>IF(AC236&lt;&gt;"",VLOOKUP($B$20,'Grille IND'!$A$5:$F$653,6,FALSE),"")</f>
      </c>
      <c r="AC236" s="109">
        <f t="shared" si="183"/>
      </c>
      <c r="AO236" s="105">
        <f t="shared" si="153"/>
      </c>
    </row>
    <row r="237" spans="1:41" ht="15">
      <c r="A237" s="337"/>
      <c r="B237" s="139"/>
      <c r="C237" s="334"/>
      <c r="D237" s="133">
        <v>43170</v>
      </c>
      <c r="E237" s="210">
        <v>0.2916666666666667</v>
      </c>
      <c r="F237" s="213">
        <v>0.5104166666666666</v>
      </c>
      <c r="G237" s="213">
        <f t="shared" si="171"/>
        <v>0.21874999999999994</v>
      </c>
      <c r="H237" s="213">
        <f t="shared" si="172"/>
      </c>
      <c r="I237" s="213">
        <f t="shared" si="173"/>
      </c>
      <c r="J237" s="210">
        <f t="shared" si="174"/>
      </c>
      <c r="K237" s="135">
        <f t="shared" si="175"/>
      </c>
      <c r="L237" s="210">
        <f t="shared" si="184"/>
        <v>0.21874999999999994</v>
      </c>
      <c r="M237" s="135">
        <f t="shared" si="176"/>
        <v>5.249999999999998</v>
      </c>
      <c r="N237" s="272" t="str">
        <f>IF(AND(K237="",M237=""),"",IF(OR(SUM($O$229:$P$233,K$235:K237,M$235:M237)&lt;=25,AND(SUM($O$229:$P$233,K$234:K236,M$234:M236)&lt;=25,SUM($O$229:$P$233,K$235:K237,M$235:M237)&gt;25)),"O","N"))</f>
        <v>N</v>
      </c>
      <c r="O237" s="135">
        <f>IF(OR(N237="N",N237=""),"",IF(K237="","",IF((25-SUM(O$229:O236,P$229:P236))&gt;K237,K237,25-SUM(O$229:O236,P$229:P236))))</f>
      </c>
      <c r="P237" s="135">
        <f>IF(OR(N237="N",N237=""),"",IF(M237="","",IF(25-SUM($O$229:O237,$P$229:P236)&gt;M237,M237,25-SUM($O$229:O237,$P$229:P236))))</f>
      </c>
      <c r="Q237" s="137" t="str">
        <f t="shared" si="177"/>
        <v>O</v>
      </c>
      <c r="R237" s="135">
        <f t="shared" si="178"/>
      </c>
      <c r="S237" s="141">
        <f t="shared" si="179"/>
        <v>5.249999999999998</v>
      </c>
      <c r="T237" s="31">
        <f>IF(N237="O",MAX(T$227:T236)+1,"")</f>
      </c>
      <c r="U237" s="31">
        <f>IF(Q237="O",MAX(U$227:U236)+1,"")</f>
        <v>2</v>
      </c>
      <c r="V237" s="106">
        <f>IF(W237&lt;&gt;"",VLOOKUP($B$20,'Grille IND'!$A$5:$F$653,3,FALSE),"")</f>
      </c>
      <c r="W237" s="106">
        <f t="shared" si="180"/>
      </c>
      <c r="X237" s="107">
        <f>IF(Y237&lt;&gt;"",VLOOKUP($B$20,'Grille IND'!$A$5:$F$653,4,FALSE),"")</f>
      </c>
      <c r="Y237" s="107">
        <f t="shared" si="181"/>
      </c>
      <c r="Z237" s="108">
        <f>IF(AA237&lt;&gt;"",VLOOKUP($B$20,'Grille IND'!$A$5:$F$653,5,FALSE),"")</f>
      </c>
      <c r="AA237" s="108">
        <f t="shared" si="182"/>
      </c>
      <c r="AB237" s="109">
        <f>IF(AC237&lt;&gt;"",VLOOKUP($B$20,'Grille IND'!$A$5:$F$653,6,FALSE),"")</f>
      </c>
      <c r="AC237" s="109">
        <f t="shared" si="183"/>
      </c>
      <c r="AO237" s="105" t="str">
        <f t="shared" si="153"/>
        <v>D</v>
      </c>
    </row>
    <row r="238" spans="1:41" ht="15">
      <c r="A238" s="337"/>
      <c r="B238" s="139"/>
      <c r="C238" s="334"/>
      <c r="D238" s="133">
        <v>43184</v>
      </c>
      <c r="E238" s="210">
        <v>0.625</v>
      </c>
      <c r="F238" s="213">
        <v>0.9305555555555555</v>
      </c>
      <c r="G238" s="213">
        <f t="shared" si="171"/>
        <v>0.30555555555555547</v>
      </c>
      <c r="H238" s="213">
        <f t="shared" si="172"/>
      </c>
      <c r="I238" s="213">
        <f t="shared" si="173"/>
        <v>0.01388888888888884</v>
      </c>
      <c r="J238" s="210">
        <f t="shared" si="174"/>
        <v>0.01388888888888884</v>
      </c>
      <c r="K238" s="135">
        <f t="shared" si="175"/>
        <v>0.33333333333333215</v>
      </c>
      <c r="L238" s="210">
        <f t="shared" si="184"/>
        <v>0.29166666666666663</v>
      </c>
      <c r="M238" s="135">
        <f t="shared" si="176"/>
        <v>6.999999999999999</v>
      </c>
      <c r="N238" s="272" t="str">
        <f>IF(AND(K238="",M238=""),"",IF(OR(SUM($O$229:$P$233,K$235:K238,M$235:M238)&lt;=25,AND(SUM($O$229:$P$233,K$234:K237,M$234:M237)&lt;=25,SUM($O$229:$P$233,K$235:K238,M$235:M238)&gt;25)),"O","N"))</f>
        <v>N</v>
      </c>
      <c r="O238" s="135">
        <f>IF(OR(N238="N",N238=""),"",IF(K238="","",IF((25-SUM(O$229:O237,P$229:P237))&gt;K238,K238,25-SUM(O$229:O237,P$229:P237))))</f>
      </c>
      <c r="P238" s="135">
        <f>IF(OR(N238="N",N238=""),"",IF(M238="","",IF(25-SUM($O$229:O238,$P$229:P237)&gt;M238,M238,25-SUM($O$229:O238,$P$229:P237))))</f>
      </c>
      <c r="Q238" s="137" t="str">
        <f t="shared" si="177"/>
        <v>O</v>
      </c>
      <c r="R238" s="135">
        <f t="shared" si="178"/>
        <v>0.33333333333333215</v>
      </c>
      <c r="S238" s="141">
        <f t="shared" si="179"/>
        <v>6.999999999999999</v>
      </c>
      <c r="T238" s="31">
        <f>IF(N238="O",MAX(T$227:T237)+1,"")</f>
      </c>
      <c r="U238" s="31">
        <f>IF(Q238="O",MAX(U$227:U237)+1,"")</f>
        <v>3</v>
      </c>
      <c r="V238" s="106">
        <f>IF(W238&lt;&gt;"",VLOOKUP($B$20,'Grille IND'!$A$5:$F$653,3,FALSE),"")</f>
      </c>
      <c r="W238" s="106">
        <f t="shared" si="180"/>
      </c>
      <c r="X238" s="107">
        <f>IF(Y238&lt;&gt;"",VLOOKUP($B$20,'Grille IND'!$A$5:$F$653,4,FALSE),"")</f>
      </c>
      <c r="Y238" s="107">
        <f t="shared" si="181"/>
      </c>
      <c r="Z238" s="108">
        <f>IF(AA238&lt;&gt;"",VLOOKUP($B$20,'Grille IND'!$A$5:$F$653,5,FALSE),"")</f>
      </c>
      <c r="AA238" s="108">
        <f t="shared" si="182"/>
      </c>
      <c r="AB238" s="109">
        <f>IF(AC238&lt;&gt;"",VLOOKUP($B$20,'Grille IND'!$A$5:$F$653,6,FALSE),"")</f>
      </c>
      <c r="AC238" s="109">
        <f t="shared" si="183"/>
      </c>
      <c r="AO238" s="105" t="str">
        <f t="shared" si="153"/>
        <v>D</v>
      </c>
    </row>
    <row r="239" spans="1:41" ht="15">
      <c r="A239" s="337"/>
      <c r="B239" s="139"/>
      <c r="C239" s="334"/>
      <c r="D239" s="133"/>
      <c r="E239" s="210"/>
      <c r="F239" s="213"/>
      <c r="G239" s="213">
        <f t="shared" si="171"/>
      </c>
      <c r="H239" s="213">
        <f t="shared" si="172"/>
      </c>
      <c r="I239" s="213">
        <f t="shared" si="173"/>
      </c>
      <c r="J239" s="210">
        <f t="shared" si="174"/>
      </c>
      <c r="K239" s="135">
        <f t="shared" si="175"/>
      </c>
      <c r="L239" s="210">
        <f t="shared" si="184"/>
      </c>
      <c r="M239" s="135">
        <f t="shared" si="176"/>
      </c>
      <c r="N239" s="272">
        <f>IF(AND(K239="",M239=""),"",IF(OR(SUM($O$229:$P$233,K$235:K239,M$235:M239)&lt;=25,AND(SUM($O$229:$P$233,K$234:K238,M$234:M238)&lt;=25,SUM($O$229:$P$233,K$235:K239,M$235:M239)&gt;25)),"O","N"))</f>
      </c>
      <c r="O239" s="135">
        <f>IF(OR(N239="N",N239=""),"",IF(K239="","",IF((25-SUM(O$229:O238,P$229:P238))&gt;K239,K239,25-SUM(O$229:O238,P$229:P238))))</f>
      </c>
      <c r="P239" s="135">
        <f>IF(OR(N239="N",N239=""),"",IF(M239="","",IF(25-SUM($O$229:O239,$P$229:P238)&gt;M239,M239,25-SUM($O$229:O239,$P$229:P238))))</f>
      </c>
      <c r="Q239" s="137">
        <f t="shared" si="177"/>
      </c>
      <c r="R239" s="135">
        <f t="shared" si="178"/>
      </c>
      <c r="S239" s="141">
        <f t="shared" si="179"/>
      </c>
      <c r="T239" s="31">
        <f>IF(N239="O",MAX(T$227:T238)+1,"")</f>
      </c>
      <c r="U239" s="31">
        <f>IF(Q239="O",MAX(U$227:U238)+1,"")</f>
      </c>
      <c r="V239" s="106">
        <f>IF(W239&lt;&gt;"",VLOOKUP($B$20,'Grille IND'!$A$5:$F$653,3,FALSE),"")</f>
      </c>
      <c r="W239" s="106">
        <f t="shared" si="180"/>
      </c>
      <c r="X239" s="107">
        <f>IF(Y239&lt;&gt;"",VLOOKUP($B$20,'Grille IND'!$A$5:$F$653,4,FALSE),"")</f>
      </c>
      <c r="Y239" s="107">
        <f t="shared" si="181"/>
      </c>
      <c r="Z239" s="108">
        <f>IF(AA239&lt;&gt;"",VLOOKUP($B$20,'Grille IND'!$A$5:$F$653,5,FALSE),"")</f>
      </c>
      <c r="AA239" s="108">
        <f t="shared" si="182"/>
      </c>
      <c r="AB239" s="109">
        <f>IF(AC239&lt;&gt;"",VLOOKUP($B$20,'Grille IND'!$A$5:$F$653,6,FALSE),"")</f>
      </c>
      <c r="AC239" s="109">
        <f t="shared" si="183"/>
      </c>
      <c r="AO239" s="105">
        <f t="shared" si="153"/>
      </c>
    </row>
    <row r="240" spans="1:41" ht="15">
      <c r="A240" s="337"/>
      <c r="B240" s="139"/>
      <c r="C240" s="334"/>
      <c r="D240" s="133"/>
      <c r="E240" s="210"/>
      <c r="F240" s="213"/>
      <c r="G240" s="213">
        <f t="shared" si="171"/>
      </c>
      <c r="H240" s="213">
        <f t="shared" si="172"/>
      </c>
      <c r="I240" s="213">
        <f t="shared" si="173"/>
      </c>
      <c r="J240" s="210">
        <f t="shared" si="174"/>
      </c>
      <c r="K240" s="135">
        <f t="shared" si="175"/>
      </c>
      <c r="L240" s="210">
        <f t="shared" si="184"/>
      </c>
      <c r="M240" s="135">
        <f t="shared" si="176"/>
      </c>
      <c r="N240" s="272">
        <f>IF(AND(K240="",M240=""),"",IF(OR(SUM($O$229:$P$233,K$235:K240,M$235:M240)&lt;=25,AND(SUM($O$229:$P$233,K$234:K239,M$234:M239)&lt;=25,SUM($O$229:$P$233,K$235:K240,M$235:M240)&gt;25)),"O","N"))</f>
      </c>
      <c r="O240" s="135">
        <f>IF(OR(N240="N",N240=""),"",IF(K240="","",IF((25-SUM(O$229:O239,P$229:P239))&gt;K240,K240,25-SUM(O$229:O239,P$229:P239))))</f>
      </c>
      <c r="P240" s="135">
        <f>IF(OR(N240="N",N240=""),"",IF(M240="","",IF(25-SUM($O$229:O240,$P$229:P239)&gt;M240,M240,25-SUM($O$229:O240,$P$229:P239))))</f>
      </c>
      <c r="Q240" s="137">
        <f t="shared" si="177"/>
      </c>
      <c r="R240" s="135">
        <f t="shared" si="178"/>
      </c>
      <c r="S240" s="141">
        <f t="shared" si="179"/>
      </c>
      <c r="T240" s="31">
        <f>IF(N240="O",MAX(T$227:T239)+1,"")</f>
      </c>
      <c r="U240" s="31">
        <f>IF(Q240="O",MAX(U$227:U239)+1,"")</f>
      </c>
      <c r="V240" s="106">
        <f>IF(W240&lt;&gt;"",VLOOKUP($B$20,'Grille IND'!$A$5:$F$653,3,FALSE),"")</f>
      </c>
      <c r="W240" s="106">
        <f t="shared" si="180"/>
      </c>
      <c r="X240" s="107">
        <f>IF(Y240&lt;&gt;"",VLOOKUP($B$20,'Grille IND'!$A$5:$F$653,4,FALSE),"")</f>
      </c>
      <c r="Y240" s="107">
        <f t="shared" si="181"/>
      </c>
      <c r="Z240" s="108">
        <f>IF(AA240&lt;&gt;"",VLOOKUP($B$20,'Grille IND'!$A$5:$F$653,5,FALSE),"")</f>
      </c>
      <c r="AA240" s="108">
        <f t="shared" si="182"/>
      </c>
      <c r="AB240" s="109">
        <f>IF(AC240&lt;&gt;"",VLOOKUP($B$20,'Grille IND'!$A$5:$F$653,6,FALSE),"")</f>
      </c>
      <c r="AC240" s="109">
        <f t="shared" si="183"/>
      </c>
      <c r="AO240" s="105">
        <f t="shared" si="153"/>
      </c>
    </row>
    <row r="241" spans="1:41" ht="15">
      <c r="A241" s="337"/>
      <c r="B241" s="139"/>
      <c r="C241" s="334"/>
      <c r="D241" s="133"/>
      <c r="E241" s="210"/>
      <c r="F241" s="213"/>
      <c r="G241" s="213">
        <f t="shared" si="171"/>
      </c>
      <c r="H241" s="213">
        <f t="shared" si="172"/>
      </c>
      <c r="I241" s="213">
        <f t="shared" si="173"/>
      </c>
      <c r="J241" s="210">
        <f t="shared" si="174"/>
      </c>
      <c r="K241" s="135">
        <f t="shared" si="175"/>
      </c>
      <c r="L241" s="210">
        <f t="shared" si="184"/>
      </c>
      <c r="M241" s="135">
        <f t="shared" si="176"/>
      </c>
      <c r="N241" s="272">
        <f>IF(AND(K241="",M241=""),"",IF(OR(SUM($O$229:$P$233,K$235:K241,M$235:M241)&lt;=25,AND(SUM($O$229:$P$233,K$234:K240,M$234:M240)&lt;=25,SUM($O$229:$P$233,K$235:K241,M$235:M241)&gt;25)),"O","N"))</f>
      </c>
      <c r="O241" s="135">
        <f>IF(OR(N241="N",N241=""),"",IF(K241="","",IF((25-SUM(O$229:O240,P$229:P240))&gt;K241,K241,25-SUM(O$229:O240,P$229:P240))))</f>
      </c>
      <c r="P241" s="135">
        <f>IF(OR(N241="N",N241=""),"",IF(M241="","",IF(25-SUM($O$229:O241,$P$229:P240)&gt;M241,M241,25-SUM($O$229:O241,$P$229:P240))))</f>
      </c>
      <c r="Q241" s="137">
        <f t="shared" si="177"/>
      </c>
      <c r="R241" s="135">
        <f t="shared" si="178"/>
      </c>
      <c r="S241" s="141">
        <f t="shared" si="179"/>
      </c>
      <c r="T241" s="31">
        <f>IF(N241="O",MAX(T$227:T240)+1,"")</f>
      </c>
      <c r="U241" s="31">
        <f>IF(Q241="O",MAX(U$227:U240)+1,"")</f>
      </c>
      <c r="V241" s="106">
        <f>IF(W241&lt;&gt;"",VLOOKUP($B$20,'Grille IND'!$A$5:$F$653,3,FALSE),"")</f>
      </c>
      <c r="W241" s="106">
        <f t="shared" si="180"/>
      </c>
      <c r="X241" s="107">
        <f>IF(Y241&lt;&gt;"",VLOOKUP($B$20,'Grille IND'!$A$5:$F$653,4,FALSE),"")</f>
      </c>
      <c r="Y241" s="107">
        <f t="shared" si="181"/>
      </c>
      <c r="Z241" s="108">
        <f>IF(AA241&lt;&gt;"",VLOOKUP($B$20,'Grille IND'!$A$5:$F$653,5,FALSE),"")</f>
      </c>
      <c r="AA241" s="108">
        <f t="shared" si="182"/>
      </c>
      <c r="AB241" s="109">
        <f>IF(AC241&lt;&gt;"",VLOOKUP($B$20,'Grille IND'!$A$5:$F$653,6,FALSE),"")</f>
      </c>
      <c r="AC241" s="109">
        <f t="shared" si="183"/>
      </c>
      <c r="AO241" s="105">
        <f t="shared" si="153"/>
      </c>
    </row>
    <row r="242" spans="1:41" ht="15">
      <c r="A242" s="337"/>
      <c r="B242" s="139"/>
      <c r="C242" s="334"/>
      <c r="D242" s="133"/>
      <c r="E242" s="210"/>
      <c r="F242" s="213"/>
      <c r="G242" s="213">
        <f t="shared" si="171"/>
      </c>
      <c r="H242" s="213">
        <f t="shared" si="172"/>
      </c>
      <c r="I242" s="213">
        <f t="shared" si="173"/>
      </c>
      <c r="J242" s="210">
        <f t="shared" si="174"/>
      </c>
      <c r="K242" s="135">
        <f t="shared" si="175"/>
      </c>
      <c r="L242" s="210">
        <f t="shared" si="184"/>
      </c>
      <c r="M242" s="135">
        <f t="shared" si="176"/>
      </c>
      <c r="N242" s="272">
        <f>IF(AND(K242="",M242=""),"",IF(OR(SUM($O$229:$P$233,K$235:K242,M$235:M242)&lt;=25,AND(SUM($O$229:$P$233,K$234:K241,M$234:M241)&lt;=25,SUM($O$229:$P$233,K$235:K242,M$235:M242)&gt;25)),"O","N"))</f>
      </c>
      <c r="O242" s="135">
        <f>IF(OR(N242="N",N242=""),"",IF(K242="","",IF((25-SUM(O$229:O241,P$229:P241))&gt;K242,K242,25-SUM(O$229:O241,P$229:P241))))</f>
      </c>
      <c r="P242" s="135">
        <f>IF(OR(N242="N",N242=""),"",IF(M242="","",IF(25-SUM($O$229:O242,$P$229:P241)&gt;M242,M242,25-SUM($O$229:O242,$P$229:P241))))</f>
      </c>
      <c r="Q242" s="137">
        <f t="shared" si="177"/>
      </c>
      <c r="R242" s="135">
        <f t="shared" si="178"/>
      </c>
      <c r="S242" s="141">
        <f t="shared" si="179"/>
      </c>
      <c r="T242" s="31">
        <f>IF(N242="O",MAX(T$227:T241)+1,"")</f>
      </c>
      <c r="U242" s="31">
        <f>IF(Q242="O",MAX(U$227:U241)+1,"")</f>
      </c>
      <c r="V242" s="106">
        <f>IF(W242&lt;&gt;"",VLOOKUP($B$20,'Grille IND'!$A$5:$F$653,3,FALSE),"")</f>
      </c>
      <c r="W242" s="106">
        <f t="shared" si="180"/>
      </c>
      <c r="X242" s="107">
        <f>IF(Y242&lt;&gt;"",VLOOKUP($B$20,'Grille IND'!$A$5:$F$653,4,FALSE),"")</f>
      </c>
      <c r="Y242" s="107">
        <f t="shared" si="181"/>
      </c>
      <c r="Z242" s="108">
        <f>IF(AA242&lt;&gt;"",VLOOKUP($B$20,'Grille IND'!$A$5:$F$653,5,FALSE),"")</f>
      </c>
      <c r="AA242" s="108">
        <f t="shared" si="182"/>
      </c>
      <c r="AB242" s="109">
        <f>IF(AC242&lt;&gt;"",VLOOKUP($B$20,'Grille IND'!$A$5:$F$653,6,FALSE),"")</f>
      </c>
      <c r="AC242" s="109">
        <f t="shared" si="183"/>
      </c>
      <c r="AO242" s="105">
        <f t="shared" si="153"/>
      </c>
    </row>
    <row r="243" spans="1:41" ht="15">
      <c r="A243" s="337"/>
      <c r="B243" s="139"/>
      <c r="C243" s="334"/>
      <c r="D243" s="133"/>
      <c r="E243" s="210"/>
      <c r="F243" s="213"/>
      <c r="G243" s="213">
        <f t="shared" si="171"/>
      </c>
      <c r="H243" s="213">
        <f t="shared" si="172"/>
      </c>
      <c r="I243" s="213">
        <f t="shared" si="173"/>
      </c>
      <c r="J243" s="210">
        <f t="shared" si="174"/>
      </c>
      <c r="K243" s="135">
        <f t="shared" si="175"/>
      </c>
      <c r="L243" s="210">
        <f t="shared" si="184"/>
      </c>
      <c r="M243" s="135">
        <f t="shared" si="176"/>
      </c>
      <c r="N243" s="272">
        <f>IF(AND(K243="",M243=""),"",IF(OR(SUM($O$229:$P$233,K$235:K243,M$235:M243)&lt;=25,AND(SUM($O$229:$P$233,K$234:K242,M$234:M242)&lt;=25,SUM($O$229:$P$233,K$235:K243,M$235:M243)&gt;25)),"O","N"))</f>
      </c>
      <c r="O243" s="135">
        <f>IF(OR(N243="N",N243=""),"",IF(K243="","",IF((25-SUM(O$229:O242,P$229:P242))&gt;K243,K243,25-SUM(O$229:O242,P$229:P242))))</f>
      </c>
      <c r="P243" s="135">
        <f>IF(OR(N243="N",N243=""),"",IF(M243="","",IF(25-SUM($O$229:O243,$P$229:P242)&gt;M243,M243,25-SUM($O$229:O243,$P$229:P242))))</f>
      </c>
      <c r="Q243" s="137">
        <f t="shared" si="177"/>
      </c>
      <c r="R243" s="135">
        <f t="shared" si="178"/>
      </c>
      <c r="S243" s="141">
        <f t="shared" si="179"/>
      </c>
      <c r="T243" s="31">
        <f>IF(N243="O",MAX(T$227:T242)+1,"")</f>
      </c>
      <c r="U243" s="31">
        <f>IF(Q243="O",MAX(U$227:U242)+1,"")</f>
      </c>
      <c r="V243" s="106">
        <f>IF(W243&lt;&gt;"",VLOOKUP($B$20,'Grille IND'!$A$5:$F$653,3,FALSE),"")</f>
      </c>
      <c r="W243" s="106">
        <f t="shared" si="180"/>
      </c>
      <c r="X243" s="107">
        <f>IF(Y243&lt;&gt;"",VLOOKUP($B$20,'Grille IND'!$A$5:$F$653,4,FALSE),"")</f>
      </c>
      <c r="Y243" s="107">
        <f t="shared" si="181"/>
      </c>
      <c r="Z243" s="108">
        <f>IF(AA243&lt;&gt;"",VLOOKUP($B$20,'Grille IND'!$A$5:$F$653,5,FALSE),"")</f>
      </c>
      <c r="AA243" s="108">
        <f t="shared" si="182"/>
      </c>
      <c r="AB243" s="109">
        <f>IF(AC243&lt;&gt;"",VLOOKUP($B$20,'Grille IND'!$A$5:$F$653,6,FALSE),"")</f>
      </c>
      <c r="AC243" s="109">
        <f t="shared" si="183"/>
      </c>
      <c r="AO243" s="105">
        <f t="shared" si="153"/>
      </c>
    </row>
    <row r="244" spans="1:41" ht="15">
      <c r="A244" s="337"/>
      <c r="B244" s="139"/>
      <c r="C244" s="334"/>
      <c r="D244" s="133"/>
      <c r="E244" s="210"/>
      <c r="F244" s="213"/>
      <c r="G244" s="213">
        <f t="shared" si="171"/>
      </c>
      <c r="H244" s="213">
        <f t="shared" si="172"/>
      </c>
      <c r="I244" s="213">
        <f t="shared" si="173"/>
      </c>
      <c r="J244" s="210">
        <f t="shared" si="174"/>
      </c>
      <c r="K244" s="135">
        <f t="shared" si="175"/>
      </c>
      <c r="L244" s="210">
        <f t="shared" si="184"/>
      </c>
      <c r="M244" s="135">
        <f t="shared" si="176"/>
      </c>
      <c r="N244" s="272">
        <f>IF(AND(K244="",M244=""),"",IF(OR(SUM($O$229:$P$233,K$235:K244,M$235:M244)&lt;=25,AND(SUM($O$229:$P$233,K$234:K243,M$234:M243)&lt;=25,SUM($O$229:$P$233,K$235:K244,M$235:M244)&gt;25)),"O","N"))</f>
      </c>
      <c r="O244" s="135">
        <f>IF(OR(N244="N",N244=""),"",IF(K244="","",IF((25-SUM(O$229:O243,P$229:P243))&gt;K244,K244,25-SUM(O$229:O243,P$229:P243))))</f>
      </c>
      <c r="P244" s="135">
        <f>IF(OR(N244="N",N244=""),"",IF(M244="","",IF(25-SUM($O$229:O244,$P$229:P243)&gt;M244,M244,25-SUM($O$229:O244,$P$229:P243))))</f>
      </c>
      <c r="Q244" s="137">
        <f t="shared" si="177"/>
      </c>
      <c r="R244" s="135">
        <f t="shared" si="178"/>
      </c>
      <c r="S244" s="141">
        <f t="shared" si="179"/>
      </c>
      <c r="T244" s="31">
        <f>IF(N244="O",MAX(T$227:T243)+1,"")</f>
      </c>
      <c r="U244" s="31">
        <f>IF(Q244="O",MAX(U$227:U243)+1,"")</f>
      </c>
      <c r="V244" s="106">
        <f>IF(W244&lt;&gt;"",VLOOKUP($B$20,'Grille IND'!$A$5:$F$653,3,FALSE),"")</f>
      </c>
      <c r="W244" s="106">
        <f t="shared" si="180"/>
      </c>
      <c r="X244" s="107">
        <f>IF(Y244&lt;&gt;"",VLOOKUP($B$20,'Grille IND'!$A$5:$F$653,4,FALSE),"")</f>
      </c>
      <c r="Y244" s="107">
        <f t="shared" si="181"/>
      </c>
      <c r="Z244" s="108">
        <f>IF(AA244&lt;&gt;"",VLOOKUP($B$20,'Grille IND'!$A$5:$F$653,5,FALSE),"")</f>
      </c>
      <c r="AA244" s="108">
        <f t="shared" si="182"/>
      </c>
      <c r="AB244" s="109">
        <f>IF(AC244&lt;&gt;"",VLOOKUP($B$20,'Grille IND'!$A$5:$F$653,6,FALSE),"")</f>
      </c>
      <c r="AC244" s="109">
        <f t="shared" si="183"/>
      </c>
      <c r="AO244" s="105">
        <f t="shared" si="153"/>
      </c>
    </row>
    <row r="245" spans="1:41" ht="15">
      <c r="A245" s="337"/>
      <c r="B245" s="139"/>
      <c r="C245" s="334"/>
      <c r="D245" s="133"/>
      <c r="E245" s="210"/>
      <c r="F245" s="213"/>
      <c r="G245" s="213">
        <f t="shared" si="171"/>
      </c>
      <c r="H245" s="213">
        <f t="shared" si="172"/>
      </c>
      <c r="I245" s="213">
        <f t="shared" si="173"/>
      </c>
      <c r="J245" s="210">
        <f t="shared" si="174"/>
      </c>
      <c r="K245" s="135">
        <f t="shared" si="175"/>
      </c>
      <c r="L245" s="210">
        <f t="shared" si="184"/>
      </c>
      <c r="M245" s="135">
        <f t="shared" si="176"/>
      </c>
      <c r="N245" s="272">
        <f>IF(AND(K245="",M245=""),"",IF(OR(SUM($O$229:$P$233,K$235:K245,M$235:M245)&lt;=25,AND(SUM($O$229:$P$233,K$234:K244,M$234:M244)&lt;=25,SUM($O$229:$P$233,K$235:K245,M$235:M245)&gt;25)),"O","N"))</f>
      </c>
      <c r="O245" s="135">
        <f>IF(OR(N245="N",N245=""),"",IF(K245="","",IF((25-SUM(O$229:O244,P$229:P244))&gt;K245,K245,25-SUM(O$229:O244,P$229:P244))))</f>
      </c>
      <c r="P245" s="135">
        <f>IF(OR(N245="N",N245=""),"",IF(M245="","",IF(25-SUM($O$229:O245,$P$229:P244)&gt;M245,M245,25-SUM($O$229:O245,$P$229:P244))))</f>
      </c>
      <c r="Q245" s="137">
        <f t="shared" si="177"/>
      </c>
      <c r="R245" s="135">
        <f t="shared" si="178"/>
      </c>
      <c r="S245" s="141">
        <f t="shared" si="179"/>
      </c>
      <c r="T245" s="31">
        <f>IF(N245="O",MAX(T$227:T244)+1,"")</f>
      </c>
      <c r="U245" s="31">
        <f>IF(Q245="O",MAX(U$227:U244)+1,"")</f>
      </c>
      <c r="V245" s="106">
        <f>IF(W245&lt;&gt;"",VLOOKUP($B$20,'Grille IND'!$A$5:$F$653,3,FALSE),"")</f>
      </c>
      <c r="W245" s="106">
        <f t="shared" si="180"/>
      </c>
      <c r="X245" s="107">
        <f>IF(Y245&lt;&gt;"",VLOOKUP($B$20,'Grille IND'!$A$5:$F$653,4,FALSE),"")</f>
      </c>
      <c r="Y245" s="107">
        <f t="shared" si="181"/>
      </c>
      <c r="Z245" s="108">
        <f>IF(AA245&lt;&gt;"",VLOOKUP($B$20,'Grille IND'!$A$5:$F$653,5,FALSE),"")</f>
      </c>
      <c r="AA245" s="108">
        <f t="shared" si="182"/>
      </c>
      <c r="AB245" s="109">
        <f>IF(AC245&lt;&gt;"",VLOOKUP($B$20,'Grille IND'!$A$5:$F$653,6,FALSE),"")</f>
      </c>
      <c r="AC245" s="109">
        <f t="shared" si="183"/>
      </c>
      <c r="AO245" s="105">
        <f t="shared" si="153"/>
      </c>
    </row>
    <row r="246" spans="1:41" ht="15">
      <c r="A246" s="337"/>
      <c r="B246" s="139"/>
      <c r="C246" s="334"/>
      <c r="D246" s="133"/>
      <c r="E246" s="210"/>
      <c r="F246" s="213"/>
      <c r="G246" s="213">
        <f t="shared" si="171"/>
      </c>
      <c r="H246" s="213">
        <f t="shared" si="172"/>
      </c>
      <c r="I246" s="213">
        <f t="shared" si="173"/>
      </c>
      <c r="J246" s="210">
        <f t="shared" si="174"/>
      </c>
      <c r="K246" s="135">
        <f t="shared" si="175"/>
      </c>
      <c r="L246" s="210">
        <f t="shared" si="184"/>
      </c>
      <c r="M246" s="135">
        <f t="shared" si="176"/>
      </c>
      <c r="N246" s="272">
        <f>IF(AND(K246="",M246=""),"",IF(OR(SUM($O$229:$P$233,K$235:K246,M$235:M246)&lt;=25,AND(SUM($O$229:$P$233,K$234:K245,M$234:M245)&lt;=25,SUM($O$229:$P$233,K$235:K246,M$235:M246)&gt;25)),"O","N"))</f>
      </c>
      <c r="O246" s="135">
        <f>IF(OR(N246="N",N246=""),"",IF(K246="","",IF((25-SUM(O$229:O245,P$229:P245))&gt;K246,K246,25-SUM(O$229:O245,P$229:P245))))</f>
      </c>
      <c r="P246" s="135">
        <f>IF(OR(N246="N",N246=""),"",IF(M246="","",IF(25-SUM($O$229:O246,$P$229:P245)&gt;M246,M246,25-SUM($O$229:O246,$P$229:P245))))</f>
      </c>
      <c r="Q246" s="137">
        <f t="shared" si="177"/>
      </c>
      <c r="R246" s="135">
        <f t="shared" si="178"/>
      </c>
      <c r="S246" s="141">
        <f t="shared" si="179"/>
      </c>
      <c r="T246" s="31">
        <f>IF(N246="O",MAX(T$227:T245)+1,"")</f>
      </c>
      <c r="U246" s="31">
        <f>IF(Q246="O",MAX(U$227:U245)+1,"")</f>
      </c>
      <c r="V246" s="106">
        <f>IF(W246&lt;&gt;"",VLOOKUP($B$20,'Grille IND'!$A$5:$F$653,3,FALSE),"")</f>
      </c>
      <c r="W246" s="106">
        <f t="shared" si="180"/>
      </c>
      <c r="X246" s="107">
        <f>IF(Y246&lt;&gt;"",VLOOKUP($B$20,'Grille IND'!$A$5:$F$653,4,FALSE),"")</f>
      </c>
      <c r="Y246" s="107">
        <f t="shared" si="181"/>
      </c>
      <c r="Z246" s="108">
        <f>IF(AA246&lt;&gt;"",VLOOKUP($B$20,'Grille IND'!$A$5:$F$653,5,FALSE),"")</f>
      </c>
      <c r="AA246" s="108">
        <f t="shared" si="182"/>
      </c>
      <c r="AB246" s="109">
        <f>IF(AC246&lt;&gt;"",VLOOKUP($B$20,'Grille IND'!$A$5:$F$653,6,FALSE),"")</f>
      </c>
      <c r="AC246" s="109">
        <f t="shared" si="183"/>
      </c>
      <c r="AO246" s="105">
        <f t="shared" si="153"/>
      </c>
    </row>
    <row r="247" spans="1:41" ht="15">
      <c r="A247" s="337"/>
      <c r="B247" s="139"/>
      <c r="C247" s="334"/>
      <c r="D247" s="133"/>
      <c r="E247" s="210"/>
      <c r="F247" s="213"/>
      <c r="G247" s="213">
        <f t="shared" si="171"/>
      </c>
      <c r="H247" s="213">
        <f t="shared" si="172"/>
      </c>
      <c r="I247" s="213">
        <f t="shared" si="173"/>
      </c>
      <c r="J247" s="210">
        <f t="shared" si="174"/>
      </c>
      <c r="K247" s="135">
        <f t="shared" si="175"/>
      </c>
      <c r="L247" s="210">
        <f t="shared" si="184"/>
      </c>
      <c r="M247" s="135">
        <f t="shared" si="176"/>
      </c>
      <c r="N247" s="272">
        <f>IF(AND(K247="",M247=""),"",IF(OR(SUM($O$229:$P$233,K$235:K247,M$235:M247)&lt;=25,AND(SUM($O$229:$P$233,K$234:K246,M$234:M246)&lt;=25,SUM($O$229:$P$233,K$235:K247,M$235:M247)&gt;25)),"O","N"))</f>
      </c>
      <c r="O247" s="135">
        <f>IF(OR(N247="N",N247=""),"",IF(K247="","",IF((25-SUM(O$229:O246,P$229:P246))&gt;K247,K247,25-SUM(O$229:O246,P$229:P246))))</f>
      </c>
      <c r="P247" s="135">
        <f>IF(OR(N247="N",N247=""),"",IF(M247="","",IF(25-SUM($O$229:O247,$P$229:P246)&gt;M247,M247,25-SUM($O$229:O247,$P$229:P246))))</f>
      </c>
      <c r="Q247" s="137">
        <f t="shared" si="177"/>
      </c>
      <c r="R247" s="135">
        <f t="shared" si="178"/>
      </c>
      <c r="S247" s="141">
        <f t="shared" si="179"/>
      </c>
      <c r="T247" s="31">
        <f>IF(N247="O",MAX(T$227:T246)+1,"")</f>
      </c>
      <c r="U247" s="31">
        <f>IF(Q247="O",MAX(U$227:U246)+1,"")</f>
      </c>
      <c r="V247" s="106">
        <f>IF(W247&lt;&gt;"",VLOOKUP($B$20,'Grille IND'!$A$5:$F$653,3,FALSE),"")</f>
      </c>
      <c r="W247" s="106">
        <f t="shared" si="180"/>
      </c>
      <c r="X247" s="107">
        <f>IF(Y247&lt;&gt;"",VLOOKUP($B$20,'Grille IND'!$A$5:$F$653,4,FALSE),"")</f>
      </c>
      <c r="Y247" s="107">
        <f t="shared" si="181"/>
      </c>
      <c r="Z247" s="108">
        <f>IF(AA247&lt;&gt;"",VLOOKUP($B$20,'Grille IND'!$A$5:$F$653,5,FALSE),"")</f>
      </c>
      <c r="AA247" s="108">
        <f t="shared" si="182"/>
      </c>
      <c r="AB247" s="109">
        <f>IF(AC247&lt;&gt;"",VLOOKUP($B$20,'Grille IND'!$A$5:$F$653,6,FALSE),"")</f>
      </c>
      <c r="AC247" s="109">
        <f t="shared" si="183"/>
      </c>
      <c r="AO247" s="105">
        <f t="shared" si="153"/>
      </c>
    </row>
    <row r="248" spans="1:41" ht="18" thickBot="1">
      <c r="A248" s="337"/>
      <c r="B248" s="139"/>
      <c r="C248" s="334"/>
      <c r="D248" s="202"/>
      <c r="E248" s="208"/>
      <c r="F248" s="230"/>
      <c r="G248" s="230"/>
      <c r="H248" s="335" t="s">
        <v>29</v>
      </c>
      <c r="I248" s="335"/>
      <c r="J248" s="208">
        <f>SUM(J235:J244)</f>
        <v>0.01388888888888884</v>
      </c>
      <c r="K248" s="163">
        <f>SUM(K229:K247)</f>
        <v>0.6666666666666643</v>
      </c>
      <c r="L248" s="208">
        <f>SUM(L235:L244)</f>
        <v>1.0625</v>
      </c>
      <c r="M248" s="163">
        <f>SUM(M229:M247)</f>
        <v>50</v>
      </c>
      <c r="N248" s="201"/>
      <c r="O248" s="336">
        <f>SUM(O233:P247)</f>
        <v>9.983333333333341</v>
      </c>
      <c r="P248" s="336"/>
      <c r="Q248" s="177"/>
      <c r="R248" s="257">
        <f>SUM(R233:R247)</f>
        <v>0.33333333333333215</v>
      </c>
      <c r="S248" s="257">
        <f>SUM(S233:S247)</f>
        <v>15.516666666666655</v>
      </c>
      <c r="T248" s="31">
        <f>IF(N248="O",MAX(T$112,T247)+1,"")</f>
      </c>
      <c r="U248" s="31">
        <f>IF(Q248="O",MAX(U$112,U247)+1,"")</f>
      </c>
      <c r="V248" s="239"/>
      <c r="W248" s="239">
        <f>SUM(W229:W247)</f>
        <v>12.416666666666671</v>
      </c>
      <c r="X248" s="240"/>
      <c r="Y248" s="240">
        <f>SUM(Y229:Y247)</f>
        <v>0</v>
      </c>
      <c r="Z248" s="241"/>
      <c r="AA248" s="241">
        <f>SUM(AA229:AA247)</f>
        <v>12.249999999999996</v>
      </c>
      <c r="AB248" s="242"/>
      <c r="AC248" s="242">
        <f>SUM(AC229:AC247)</f>
        <v>0.33333333333333215</v>
      </c>
      <c r="AO248" s="105">
        <f t="shared" si="153"/>
      </c>
    </row>
    <row r="249" spans="1:41" ht="19.5" customHeight="1" thickBot="1">
      <c r="A249" s="184"/>
      <c r="B249" s="185"/>
      <c r="C249" s="185"/>
      <c r="D249" s="186"/>
      <c r="E249" s="223"/>
      <c r="F249" s="232"/>
      <c r="G249" s="232"/>
      <c r="H249" s="187"/>
      <c r="I249" s="187"/>
      <c r="J249" s="223"/>
      <c r="K249" s="188"/>
      <c r="L249" s="223"/>
      <c r="M249" s="188"/>
      <c r="N249" s="200"/>
      <c r="O249" s="200"/>
      <c r="P249" s="188"/>
      <c r="Q249" s="191"/>
      <c r="R249" s="191"/>
      <c r="S249" s="188"/>
      <c r="T249" s="31">
        <f>IF(N249="O",MAX(T$112,T248)+1,"")</f>
      </c>
      <c r="U249" s="31">
        <f>IF(Q249="O",MAX(U$112,U248)+1,"")</f>
      </c>
      <c r="V249" s="239"/>
      <c r="W249" s="239">
        <f>SUMPRODUCT(V229:V247,W229:W247)</f>
        <v>197.54916666666674</v>
      </c>
      <c r="X249" s="240"/>
      <c r="Y249" s="240">
        <f>SUMPRODUCT(X229:X247,Y229:Y247)</f>
        <v>0</v>
      </c>
      <c r="Z249" s="241"/>
      <c r="AA249" s="241">
        <f>SUMPRODUCT(Z229:Z247,AA229:AA247)</f>
        <v>324.86999999999995</v>
      </c>
      <c r="AB249" s="242"/>
      <c r="AC249" s="242">
        <f>SUMPRODUCT(AB229:AB247,AC229:AC247)</f>
        <v>10.606666666666628</v>
      </c>
      <c r="AO249" s="105">
        <f t="shared" si="153"/>
      </c>
    </row>
    <row r="250" spans="1:41" ht="15">
      <c r="A250" s="337" t="s">
        <v>155</v>
      </c>
      <c r="B250" s="320">
        <f>VLOOKUP($B$1,INFOS!A:AU,39,FALSE)</f>
        <v>457</v>
      </c>
      <c r="C250" s="338" t="s">
        <v>31</v>
      </c>
      <c r="D250" s="405" t="s">
        <v>170</v>
      </c>
      <c r="E250" s="398"/>
      <c r="F250" s="398"/>
      <c r="G250" s="398"/>
      <c r="H250" s="398"/>
      <c r="I250" s="398"/>
      <c r="J250" s="398"/>
      <c r="K250" s="398"/>
      <c r="L250" s="398"/>
      <c r="M250" s="399"/>
      <c r="N250" s="339" t="s">
        <v>32</v>
      </c>
      <c r="O250" s="340"/>
      <c r="P250" s="340"/>
      <c r="Q250" s="341"/>
      <c r="R250" s="345">
        <f>R248</f>
        <v>0.33333333333333215</v>
      </c>
      <c r="S250" s="331">
        <f>S248</f>
        <v>15.516666666666655</v>
      </c>
      <c r="V250" s="255"/>
      <c r="W250" s="256"/>
      <c r="X250" s="256"/>
      <c r="Y250" s="256"/>
      <c r="Z250" s="256"/>
      <c r="AA250" s="256"/>
      <c r="AB250" s="256"/>
      <c r="AC250" s="256"/>
      <c r="AO250" s="397"/>
    </row>
    <row r="251" spans="1:41" ht="15">
      <c r="A251" s="337"/>
      <c r="B251" s="321">
        <f>VLOOKUP($B$1,INFOS!A:AU,40,FALSE)</f>
        <v>1</v>
      </c>
      <c r="C251" s="338"/>
      <c r="D251" s="408"/>
      <c r="E251" s="408"/>
      <c r="F251" s="408"/>
      <c r="G251" s="408"/>
      <c r="H251" s="408"/>
      <c r="I251" s="408"/>
      <c r="J251" s="408"/>
      <c r="K251" s="408"/>
      <c r="L251" s="408"/>
      <c r="M251" s="409"/>
      <c r="N251" s="342"/>
      <c r="O251" s="343"/>
      <c r="P251" s="343"/>
      <c r="Q251" s="344"/>
      <c r="R251" s="346"/>
      <c r="S251" s="332"/>
      <c r="V251" s="34"/>
      <c r="X251" s="34"/>
      <c r="Y251" s="34"/>
      <c r="Z251" s="34"/>
      <c r="AA251" s="34"/>
      <c r="AB251" s="34"/>
      <c r="AC251" s="34"/>
      <c r="AO251" s="397"/>
    </row>
    <row r="252" spans="1:41" ht="15">
      <c r="A252" s="337"/>
      <c r="B252" s="333" t="str">
        <f>VLOOKUP($B$1,INFOS!A:AU,9,FALSE)</f>
        <v>Direction Générale des Services</v>
      </c>
      <c r="C252" s="338"/>
      <c r="D252" s="171">
        <f>IF(ROWS($D$252:D252)&lt;=MAX($U$229:$U$247),INDEX($D$229:$D$247,MATCH(ROWS($D$252:D252),$U$229:$U$247,0)),"")</f>
        <v>43169</v>
      </c>
      <c r="E252" s="209">
        <f aca="true" t="shared" si="185" ref="E252:M256">IF($D252&lt;&gt;"",_xlfn.IFERROR(VLOOKUP($D252,$D$235:$S$247,COLUMN(B$1),0),""),"")</f>
        <v>0.34375</v>
      </c>
      <c r="F252" s="209">
        <f t="shared" si="185"/>
        <v>0.6875</v>
      </c>
      <c r="G252" s="209">
        <f t="shared" si="185"/>
        <v>0.34375</v>
      </c>
      <c r="H252" s="209">
        <f t="shared" si="185"/>
      </c>
      <c r="I252" s="209">
        <f t="shared" si="185"/>
      </c>
      <c r="J252" s="209">
        <f t="shared" si="185"/>
      </c>
      <c r="K252" s="160">
        <f t="shared" si="185"/>
      </c>
      <c r="L252" s="209">
        <f t="shared" si="185"/>
        <v>0.34375</v>
      </c>
      <c r="M252" s="160">
        <f t="shared" si="185"/>
        <v>8.25</v>
      </c>
      <c r="N252" s="273" t="str">
        <f>IF(OR(O252&lt;&gt;"",P252&lt;&gt;""),"O","")</f>
        <v>O</v>
      </c>
      <c r="O252" s="274">
        <f>IF(D252&lt;&gt;"",_xlfn.IFERROR(VLOOKUP($D252,$D$235:$S$247,COLUMN(O$1),0),""),"")</f>
      </c>
      <c r="P252" s="274">
        <f>IF(D252&lt;&gt;"",_xlfn.IFERROR(VLOOKUP($D252,$D$235:$S$247,COLUMN(P$1),0),""),"")</f>
        <v>3.2666666666666586</v>
      </c>
      <c r="Q252" s="275"/>
      <c r="R252" s="275"/>
      <c r="S252" s="276"/>
      <c r="T252" s="31">
        <f>IF(N252="O",MAX(T$250:T251)+1,"")</f>
        <v>1</v>
      </c>
      <c r="U252" s="31">
        <f>IF(Q252="O",MAX(U$250:U251)+1,"")</f>
      </c>
      <c r="V252" s="106">
        <f>IF(W252&lt;&gt;"",VLOOKUP($B$20,'Grille IND'!$A$5:$F$653,3,FALSE),"")</f>
        <v>15.91</v>
      </c>
      <c r="W252" s="106">
        <f>IF(T252="","",IF(OR(AO252="D",AO252="F"),"",IF(OR(AND(N252="O",Q252="",P252&lt;=14),AND(N252="O",Q252="O",P252&lt;=14)),P252,14)))</f>
        <v>3.2666666666666586</v>
      </c>
      <c r="X252" s="107">
        <f>IF(Y252&lt;&gt;"",VLOOKUP($B$20,'Grille IND'!$A$5:$F$653,4,FALSE),"")</f>
      </c>
      <c r="Y252" s="107">
        <f>IF(T252="","",IF(OR(AO252="D",AO252="F"),"",IF(OR(AND(N252="O",Q252="",P252&gt;14),AND(N252="O",Q252="O",P252&gt;14)),P252-14,"")))</f>
      </c>
      <c r="Z252" s="108">
        <f>IF(AA252&lt;&gt;"",VLOOKUP($B$20,'Grille IND'!$A$5:$F$653,5,FALSE),"")</f>
      </c>
      <c r="AA252" s="108">
        <f>IF(T252="","",IF(OR(AND(OR(AO252="D",AO252="F"),N252="O",Q252=""),AND(OR(AO252="D",AO252="F"),N252="O",Q252="O")),P252,""))</f>
      </c>
      <c r="AB252" s="109">
        <f>IF(AC252&lt;&gt;"",VLOOKUP($B$20,'Grille IND'!$A$5:$F$653,6,FALSE),"")</f>
      </c>
      <c r="AC252" s="109">
        <f>IF(T252="","",IF(O252="","",O252))</f>
      </c>
      <c r="AO252" s="105">
        <f t="shared" si="153"/>
      </c>
    </row>
    <row r="253" spans="1:41" ht="15">
      <c r="A253" s="337"/>
      <c r="B253" s="333"/>
      <c r="C253" s="338"/>
      <c r="D253" s="171">
        <f>IF(ROWS($D$252:D253)&lt;=MAX($U$229:$U$247),INDEX($D$229:$D$247,MATCH(ROWS($D$252:D253),$U$229:$U$247,0)),"")</f>
        <v>43170</v>
      </c>
      <c r="E253" s="209">
        <f t="shared" si="185"/>
        <v>0.2916666666666667</v>
      </c>
      <c r="F253" s="209">
        <f t="shared" si="185"/>
        <v>0.5104166666666666</v>
      </c>
      <c r="G253" s="209">
        <f t="shared" si="185"/>
        <v>0.21874999999999994</v>
      </c>
      <c r="H253" s="209">
        <f t="shared" si="185"/>
      </c>
      <c r="I253" s="209">
        <f t="shared" si="185"/>
      </c>
      <c r="J253" s="209">
        <f t="shared" si="185"/>
      </c>
      <c r="K253" s="160">
        <f t="shared" si="185"/>
      </c>
      <c r="L253" s="209">
        <f t="shared" si="185"/>
        <v>0.21874999999999994</v>
      </c>
      <c r="M253" s="160">
        <f t="shared" si="185"/>
        <v>5.249999999999998</v>
      </c>
      <c r="N253" s="277" t="str">
        <f>IF(OR(O253&lt;&gt;"",P253&lt;&gt;""),"O","")</f>
        <v>O</v>
      </c>
      <c r="O253" s="279">
        <f>IF(D253&lt;&gt;"",_xlfn.IFERROR(VLOOKUP($D253,$D$235:$S$247,COLUMN(O$1),0),""),"")</f>
      </c>
      <c r="P253" s="279">
        <f>IF(D253&lt;&gt;"",_xlfn.IFERROR(VLOOKUP($D253,$D$235:$S$247,COLUMN(P$1),0),""),"")</f>
        <v>5.249999999999998</v>
      </c>
      <c r="Q253" s="278"/>
      <c r="R253" s="278"/>
      <c r="S253" s="280"/>
      <c r="T253" s="31">
        <f>IF(N253="O",MAX(T$250:T252)+1,"")</f>
        <v>2</v>
      </c>
      <c r="U253" s="31">
        <f>IF(Q253="O",MAX(U$250:U252)+1,"")</f>
      </c>
      <c r="V253" s="106">
        <f>IF(W253&lt;&gt;"",VLOOKUP($B$20,'Grille IND'!$A$5:$F$653,3,FALSE),"")</f>
      </c>
      <c r="W253" s="106">
        <f>IF(T253="","",IF(OR(AO253="D",AO253="F"),"",IF(OR(AND(N253="O",Q253="",P253&lt;=14),AND(N253="O",Q253="O",P253&lt;=14)),P253,14)))</f>
      </c>
      <c r="X253" s="107">
        <f>IF(Y253&lt;&gt;"",VLOOKUP($B$20,'Grille IND'!$A$5:$F$653,4,FALSE),"")</f>
      </c>
      <c r="Y253" s="107">
        <f>IF(T253="","",IF(OR(AO253="D",AO253="F"),"",IF(OR(AND(N253="O",Q253="",P253&gt;14),AND(N253="O",Q253="O",P253&gt;14)),P253-14,"")))</f>
      </c>
      <c r="Z253" s="108">
        <f>IF(AA253&lt;&gt;"",VLOOKUP($B$20,'Grille IND'!$A$5:$F$653,5,FALSE),"")</f>
        <v>26.52</v>
      </c>
      <c r="AA253" s="108">
        <f>IF(T253="","",IF(OR(AND(OR(AO253="D",AO253="F"),N253="O",Q253=""),AND(OR(AO253="D",AO253="F"),N253="O",Q253="O")),P253,""))</f>
        <v>5.249999999999998</v>
      </c>
      <c r="AB253" s="109">
        <f>IF(AC253&lt;&gt;"",VLOOKUP($B$20,'Grille IND'!$A$5:$F$653,6,FALSE),"")</f>
      </c>
      <c r="AC253" s="109">
        <f>IF(T253="","",IF(O253="","",O253))</f>
      </c>
      <c r="AO253" s="105" t="str">
        <f t="shared" si="153"/>
        <v>D</v>
      </c>
    </row>
    <row r="254" spans="1:41" ht="15">
      <c r="A254" s="337"/>
      <c r="B254" s="139"/>
      <c r="C254" s="338"/>
      <c r="D254" s="171">
        <f>IF(ROWS($D$252:D254)&lt;=MAX($U$229:$U$247),INDEX($D$229:$D$247,MATCH(ROWS($D$252:D254),$U$229:$U$247,0)),"")</f>
        <v>43184</v>
      </c>
      <c r="E254" s="209">
        <f t="shared" si="185"/>
        <v>0.625</v>
      </c>
      <c r="F254" s="209">
        <f t="shared" si="185"/>
        <v>0.9305555555555555</v>
      </c>
      <c r="G254" s="209">
        <f t="shared" si="185"/>
        <v>0.30555555555555547</v>
      </c>
      <c r="H254" s="209">
        <f t="shared" si="185"/>
      </c>
      <c r="I254" s="209">
        <f t="shared" si="185"/>
        <v>0.01388888888888884</v>
      </c>
      <c r="J254" s="209">
        <f t="shared" si="185"/>
        <v>0.01388888888888884</v>
      </c>
      <c r="K254" s="160">
        <f t="shared" si="185"/>
        <v>0.33333333333333215</v>
      </c>
      <c r="L254" s="209">
        <f t="shared" si="185"/>
        <v>0.29166666666666663</v>
      </c>
      <c r="M254" s="160">
        <f t="shared" si="185"/>
        <v>6.999999999999999</v>
      </c>
      <c r="N254" s="277" t="str">
        <f>IF(OR(O254&lt;&gt;"",P254&lt;&gt;""),"O","")</f>
        <v>O</v>
      </c>
      <c r="O254" s="279">
        <f>IF(D254&lt;&gt;"",_xlfn.IFERROR(VLOOKUP($D254,$D$235:$S$247,COLUMN(O$1),0),""),"")</f>
        <v>0.33333333333333215</v>
      </c>
      <c r="P254" s="279">
        <f>IF(D254&lt;&gt;"",_xlfn.IFERROR(VLOOKUP($D254,$D$235:$S$247,COLUMN(P$1),0),""),"")</f>
        <v>6.999999999999999</v>
      </c>
      <c r="Q254" s="278"/>
      <c r="R254" s="278"/>
      <c r="S254" s="280"/>
      <c r="T254" s="31">
        <f>IF(N254="O",MAX(T$250:T253)+1,"")</f>
        <v>3</v>
      </c>
      <c r="U254" s="31">
        <f>IF(Q254="O",MAX(U$250:U253)+1,"")</f>
      </c>
      <c r="V254" s="106">
        <f>IF(W254&lt;&gt;"",VLOOKUP($B$20,'Grille IND'!$A$5:$F$653,3,FALSE),"")</f>
      </c>
      <c r="W254" s="106">
        <f>IF(T254="","",IF(OR(AO254="D",AO254="F"),"",IF(OR(AND(N254="O",Q254="",P254&lt;=14),AND(N254="O",Q254="O",P254&lt;=14)),P254,14)))</f>
      </c>
      <c r="X254" s="107">
        <f>IF(Y254&lt;&gt;"",VLOOKUP($B$20,'Grille IND'!$A$5:$F$653,4,FALSE),"")</f>
      </c>
      <c r="Y254" s="107">
        <f>IF(T254="","",IF(OR(AO254="D",AO254="F"),"",IF(OR(AND(N254="O",Q254="",P254&gt;14),AND(N254="O",Q254="O",P254&gt;14)),P254-14,"")))</f>
      </c>
      <c r="Z254" s="108">
        <f>IF(AA254&lt;&gt;"",VLOOKUP($B$20,'Grille IND'!$A$5:$F$653,5,FALSE),"")</f>
        <v>26.52</v>
      </c>
      <c r="AA254" s="108">
        <f>IF(T254="","",IF(OR(AND(OR(AO254="D",AO254="F"),N254="O",Q254=""),AND(OR(AO254="D",AO254="F"),N254="O",Q254="O")),P254,""))</f>
        <v>6.999999999999999</v>
      </c>
      <c r="AB254" s="109">
        <f>IF(AC254&lt;&gt;"",VLOOKUP($B$20,'Grille IND'!$A$5:$F$653,6,FALSE),"")</f>
        <v>31.82</v>
      </c>
      <c r="AC254" s="109">
        <f>IF(T254="","",IF(O254="","",O254))</f>
        <v>0.33333333333333215</v>
      </c>
      <c r="AO254" s="105" t="str">
        <f t="shared" si="153"/>
        <v>D</v>
      </c>
    </row>
    <row r="255" spans="1:41" ht="15">
      <c r="A255" s="337"/>
      <c r="B255" s="139"/>
      <c r="C255" s="338"/>
      <c r="D255" s="171">
        <f>IF(ROWS($D$252:D255)&lt;=MAX($U$229:$U$247),INDEX($D$229:$D$247,MATCH(ROWS($D$252:D255),$U$229:$U$247,0)),"")</f>
      </c>
      <c r="E255" s="209">
        <f t="shared" si="185"/>
      </c>
      <c r="F255" s="209">
        <f t="shared" si="185"/>
      </c>
      <c r="G255" s="209">
        <f t="shared" si="185"/>
      </c>
      <c r="H255" s="209">
        <f t="shared" si="185"/>
      </c>
      <c r="I255" s="209">
        <f t="shared" si="185"/>
      </c>
      <c r="J255" s="209">
        <f t="shared" si="185"/>
      </c>
      <c r="K255" s="160">
        <f t="shared" si="185"/>
      </c>
      <c r="L255" s="209">
        <f t="shared" si="185"/>
      </c>
      <c r="M255" s="160">
        <f t="shared" si="185"/>
      </c>
      <c r="N255" s="277">
        <f>IF(OR(O255&lt;&gt;"",P255&lt;&gt;""),"O","")</f>
      </c>
      <c r="O255" s="279">
        <f>IF(D255&lt;&gt;"",_xlfn.IFERROR(VLOOKUP($D255,$D$235:$S$247,COLUMN(O$1),0),""),"")</f>
      </c>
      <c r="P255" s="279">
        <f>IF(D255&lt;&gt;"",_xlfn.IFERROR(VLOOKUP($D255,$D$235:$S$247,COLUMN(P$1),0),""),"")</f>
      </c>
      <c r="Q255" s="278"/>
      <c r="R255" s="278"/>
      <c r="S255" s="280"/>
      <c r="T255" s="31">
        <f>IF(N255="O",MAX(T$250:T254)+1,"")</f>
      </c>
      <c r="U255" s="31">
        <f>IF(Q255="O",MAX(U$250:U254)+1,"")</f>
      </c>
      <c r="V255" s="106">
        <f>IF(W255&lt;&gt;"",VLOOKUP($B$20,'Grille IND'!$A$5:$F$653,3,FALSE),"")</f>
      </c>
      <c r="W255" s="106">
        <f>IF(T255="","",IF(OR(AO255="D",AO255="F"),"",IF(OR(AND(N255="O",Q255="",P255&lt;=14),AND(N255="O",Q255="O",P255&lt;=14)),P255,14)))</f>
      </c>
      <c r="X255" s="107">
        <f>IF(Y255&lt;&gt;"",VLOOKUP($B$20,'Grille IND'!$A$5:$F$653,4,FALSE),"")</f>
      </c>
      <c r="Y255" s="107">
        <f>IF(T255="","",IF(OR(AO255="D",AO255="F"),"",IF(OR(AND(N255="O",Q255="",P255&gt;14),AND(N255="O",Q255="O",P255&gt;14)),P255-14,"")))</f>
      </c>
      <c r="Z255" s="108">
        <f>IF(AA255&lt;&gt;"",VLOOKUP($B$20,'Grille IND'!$A$5:$F$653,5,FALSE),"")</f>
      </c>
      <c r="AA255" s="108">
        <f>IF(T255="","",IF(OR(AND(OR(AO255="D",AO255="F"),N255="O",Q255=""),AND(OR(AO255="D",AO255="F"),N255="O",Q255="O")),P255,""))</f>
      </c>
      <c r="AB255" s="109">
        <f>IF(AC255&lt;&gt;"",VLOOKUP($B$20,'Grille IND'!$A$5:$F$653,6,FALSE),"")</f>
      </c>
      <c r="AC255" s="109">
        <f>IF(T255="","",IF(O255="","",O255))</f>
      </c>
      <c r="AO255" s="105">
        <f t="shared" si="153"/>
      </c>
    </row>
    <row r="256" spans="1:41" ht="15">
      <c r="A256" s="337"/>
      <c r="B256" s="139"/>
      <c r="C256" s="338"/>
      <c r="D256" s="171">
        <f>IF(ROWS($D$252:D256)&lt;=MAX($U$229:$U$247),INDEX($D$229:$D$247,MATCH(ROWS($D$252:D256),$U$229:$U$247,0)),"")</f>
      </c>
      <c r="E256" s="209">
        <f t="shared" si="185"/>
      </c>
      <c r="F256" s="209">
        <f t="shared" si="185"/>
      </c>
      <c r="G256" s="209">
        <f t="shared" si="185"/>
      </c>
      <c r="H256" s="209">
        <f t="shared" si="185"/>
      </c>
      <c r="I256" s="209">
        <f t="shared" si="185"/>
      </c>
      <c r="J256" s="209">
        <f t="shared" si="185"/>
      </c>
      <c r="K256" s="160">
        <f t="shared" si="185"/>
      </c>
      <c r="L256" s="209">
        <f t="shared" si="185"/>
      </c>
      <c r="M256" s="160">
        <f t="shared" si="185"/>
      </c>
      <c r="N256" s="277">
        <f>IF(OR(O256&lt;&gt;"",P256&lt;&gt;""),"O","")</f>
      </c>
      <c r="O256" s="279">
        <f>IF(D256&lt;&gt;"",_xlfn.IFERROR(VLOOKUP($D256,$D$235:$S$247,COLUMN(O$1),0),""),"")</f>
      </c>
      <c r="P256" s="279">
        <f>IF(D256&lt;&gt;"",_xlfn.IFERROR(VLOOKUP($D256,$D$235:$S$247,COLUMN(P$1),0),""),"")</f>
      </c>
      <c r="Q256" s="278"/>
      <c r="R256" s="278"/>
      <c r="S256" s="280"/>
      <c r="T256" s="31">
        <f>IF(N256="O",MAX(T$250:T255)+1,"")</f>
      </c>
      <c r="U256" s="31">
        <f>IF(Q256="O",MAX(U$250:U255)+1,"")</f>
      </c>
      <c r="V256" s="106">
        <f>IF(W256&lt;&gt;"",VLOOKUP($B$20,'Grille IND'!$A$5:$F$653,3,FALSE),"")</f>
      </c>
      <c r="W256" s="106">
        <f>IF(T256="","",IF(OR(AO256="D",AO256="F"),"",IF(OR(AND(N256="O",Q256="",P256&lt;=14),AND(N256="O",Q256="O",P256&lt;=14)),P256,14)))</f>
      </c>
      <c r="X256" s="107">
        <f>IF(Y256&lt;&gt;"",VLOOKUP($B$20,'Grille IND'!$A$5:$F$653,4,FALSE),"")</f>
      </c>
      <c r="Y256" s="107">
        <f>IF(T256="","",IF(OR(AO256="D",AO256="F"),"",IF(OR(AND(N256="O",Q256="",P256&gt;14),AND(N256="O",Q256="O",P256&gt;14)),P256-14,"")))</f>
      </c>
      <c r="Z256" s="108">
        <f>IF(AA256&lt;&gt;"",VLOOKUP($B$20,'Grille IND'!$A$5:$F$653,5,FALSE),"")</f>
      </c>
      <c r="AA256" s="108">
        <f>IF(T256="","",IF(OR(AND(OR(AO256="D",AO256="F"),N256="O",Q256=""),AND(OR(AO256="D",AO256="F"),N256="O",Q256="O")),P256,""))</f>
      </c>
      <c r="AB256" s="109">
        <f>IF(AC256&lt;&gt;"",VLOOKUP($B$20,'Grille IND'!$A$5:$F$653,6,FALSE),"")</f>
      </c>
      <c r="AC256" s="109">
        <f>IF(T256="","",IF(O256="","",O256))</f>
      </c>
      <c r="AO256" s="105">
        <f t="shared" si="153"/>
      </c>
    </row>
    <row r="257" spans="1:41" ht="15">
      <c r="A257" s="337"/>
      <c r="B257" s="139"/>
      <c r="C257" s="338"/>
      <c r="D257" s="301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301"/>
      <c r="P257" s="301"/>
      <c r="Q257" s="301"/>
      <c r="R257" s="301"/>
      <c r="S257" s="302"/>
      <c r="T257" s="31">
        <f>IF(N257="O",MAX(T$250:T256)+1,"")</f>
      </c>
      <c r="U257" s="31">
        <f>IF(Q257="O",MAX(U$250:U256)+1,"")</f>
      </c>
      <c r="V257" s="238"/>
      <c r="W257" s="238"/>
      <c r="X257" s="252"/>
      <c r="Y257" s="252"/>
      <c r="Z257" s="253"/>
      <c r="AA257" s="253"/>
      <c r="AB257" s="254"/>
      <c r="AC257" s="254"/>
      <c r="AO257" s="105">
        <f t="shared" si="153"/>
      </c>
    </row>
    <row r="258" spans="1:41" ht="14.25" customHeight="1">
      <c r="A258" s="337"/>
      <c r="B258" s="139"/>
      <c r="C258" s="334" t="s">
        <v>27</v>
      </c>
      <c r="D258" s="133">
        <v>43164</v>
      </c>
      <c r="E258" s="210">
        <v>0.3333333333333333</v>
      </c>
      <c r="F258" s="213">
        <v>0.5416666666666666</v>
      </c>
      <c r="G258" s="213">
        <f aca="true" t="shared" si="186" ref="G258:G270">IF(AND(E258="",F258=""),"",MOD(F258-E258,1))</f>
        <v>0.20833333333333331</v>
      </c>
      <c r="H258" s="213">
        <f aca="true" t="shared" si="187" ref="H258:H270">IF(E258="","",IF($E258&lt;$AJ$3,$AJ$3-$E258,""))</f>
      </c>
      <c r="I258" s="213">
        <f aca="true" t="shared" si="188" ref="I258:I270">IF(F258="","",IF($F258&gt;$AK$3,$F258-$AK$3,""))</f>
      </c>
      <c r="J258" s="210">
        <f aca="true" t="shared" si="189" ref="J258:J270">IF(AND(H258="",I258=""),"",SUM(H258,I258))</f>
      </c>
      <c r="K258" s="135">
        <f aca="true" t="shared" si="190" ref="K258:K270">IF(J258="","",J258*24)</f>
      </c>
      <c r="L258" s="210">
        <f>IF(AND(E258="",F258=""),"",IF(J258&lt;&gt;"",G258-J258,G258))</f>
        <v>0.20833333333333331</v>
      </c>
      <c r="M258" s="135">
        <f aca="true" t="shared" si="191" ref="M258:M270">IF(L258="","",L258*24)</f>
        <v>5</v>
      </c>
      <c r="N258" s="272" t="str">
        <f>IF(AND(K258="",M258=""),"",IF(OR(SUM($O$252:$P$256,K$258:K258,M$258:M258)&lt;=25,AND(SUM($O$252:$P$256,K$257:K257,M$257:M257)&lt;=25,SUM($O$252:$P$256,K$258:K258,M$258:M258)&gt;25)),"O","N"))</f>
        <v>O</v>
      </c>
      <c r="O258" s="135">
        <f>IF(OR(N258="N",N258=""),"",IF(K258="","",IF((25-SUM(O$252:O257,P$252:P257))&gt;K258,K258,25-SUM(O$252:O257,P$252:P257))))</f>
      </c>
      <c r="P258" s="135">
        <f>IF(OR(N258="N",N258=""),"",IF(M258="","",IF(25-SUM($O$252:O258,$P$252:P257)&gt;M258,M258,25-SUM($O$252:O258,$P$252:P257))))</f>
        <v>5</v>
      </c>
      <c r="Q258" s="137">
        <f aca="true" t="shared" si="192" ref="Q258:Q270">IF(AND(N258="O",SUM(O258,P258)=SUM(K258,M258)),"",IF(AND(N258="O",SUM(O258,P258)&lt;SUM(K258,M258)),"O",IF(N258="N","O","")))</f>
      </c>
      <c r="R258" s="135">
        <f aca="true" t="shared" si="193" ref="R258:R270">IF(Q258="","",IF(AND(N258="O",Q258="O"),IF(K258="","",K258-O258),IF(N258="N",IF(K258="","",K258),"")))</f>
      </c>
      <c r="S258" s="141">
        <f aca="true" t="shared" si="194" ref="S258:S270">IF(Q258="","",IF(AND(N258="O",Q258="O"),IF(M258="","",M258-P258),IF(N258="N",IF(M258="","",M258),"")))</f>
      </c>
      <c r="T258" s="31">
        <f>IF(N258="O",MAX(T$250:T257)+1,"")</f>
        <v>4</v>
      </c>
      <c r="U258" s="31">
        <f>IF(Q258="O",MAX(U$250:U257)+1,"")</f>
      </c>
      <c r="V258" s="106">
        <f>IF(W258&lt;&gt;"",VLOOKUP($B$20,'Grille IND'!$A$5:$F$653,3,FALSE),"")</f>
        <v>15.91</v>
      </c>
      <c r="W258" s="106">
        <f aca="true" t="shared" si="195" ref="W258:W270">IF(T258="","",IF(OR(AO258="D",AO258="F"),"",IF(OR(AND(N258="O",Q258="",P258&lt;=14),AND(N258="O",Q258="O",P258&lt;=14)),P258,14)))</f>
        <v>5</v>
      </c>
      <c r="X258" s="107">
        <f>IF(Y258&lt;&gt;"",VLOOKUP($B$20,'Grille IND'!$A$5:$F$653,4,FALSE),"")</f>
      </c>
      <c r="Y258" s="107">
        <f aca="true" t="shared" si="196" ref="Y258:Y270">IF(T258="","",IF(OR(AO258="D",AO258="F"),"",IF(OR(AND(N258="O",Q258="",P258&gt;14),AND(N258="O",Q258="O",P258&gt;14)),P258-14,"")))</f>
      </c>
      <c r="Z258" s="108">
        <f>IF(AA258&lt;&gt;"",VLOOKUP($B$20,'Grille IND'!$A$5:$F$653,5,FALSE),"")</f>
      </c>
      <c r="AA258" s="108">
        <f aca="true" t="shared" si="197" ref="AA258:AA270">IF(T258="","",IF(OR(AND(OR(AO258="D",AO258="F"),N258="O",Q258=""),AND(OR(AO258="D",AO258="F"),N258="O",Q258="O")),P258,""))</f>
      </c>
      <c r="AB258" s="109">
        <f>IF(AC258&lt;&gt;"",VLOOKUP($B$20,'Grille IND'!$A$5:$F$653,6,FALSE),"")</f>
      </c>
      <c r="AC258" s="109">
        <f aca="true" t="shared" si="198" ref="AC258:AC270">IF(T258="","",IF(O258="","",O258))</f>
      </c>
      <c r="AO258" s="105">
        <f t="shared" si="153"/>
      </c>
    </row>
    <row r="259" spans="1:41" ht="15">
      <c r="A259" s="337"/>
      <c r="B259" s="139"/>
      <c r="C259" s="334"/>
      <c r="D259" s="133">
        <v>43169</v>
      </c>
      <c r="E259" s="210">
        <v>0.34375</v>
      </c>
      <c r="F259" s="213">
        <v>0.8541666666666666</v>
      </c>
      <c r="G259" s="213">
        <f t="shared" si="186"/>
        <v>0.5104166666666666</v>
      </c>
      <c r="H259" s="213">
        <f t="shared" si="187"/>
      </c>
      <c r="I259" s="213">
        <f t="shared" si="188"/>
      </c>
      <c r="J259" s="210">
        <f t="shared" si="189"/>
      </c>
      <c r="K259" s="135">
        <f t="shared" si="190"/>
      </c>
      <c r="L259" s="210">
        <f aca="true" t="shared" si="199" ref="L259:L270">IF(AND(E259="",F259=""),"",IF(J259&lt;&gt;"",G259-J259,G259))</f>
        <v>0.5104166666666666</v>
      </c>
      <c r="M259" s="135">
        <f t="shared" si="191"/>
        <v>12.25</v>
      </c>
      <c r="N259" s="272" t="str">
        <f>IF(AND(K259="",M259=""),"",IF(OR(SUM($O$252:$P$256,K$258:K259,M$258:M259)&lt;=25,AND(SUM($O$252:$P$256,K$257:K258,M$257:M258)&lt;=25,SUM($O$252:$P$256,K$258:K259,M$258:M259)&gt;25)),"O","N"))</f>
        <v>O</v>
      </c>
      <c r="O259" s="135">
        <f>IF(OR(N259="N",N259=""),"",IF(K259="","",IF((25-SUM(O$252:O258,P$252:P258))&gt;K259,K259,25-SUM(O$252:O258,P$252:P258))))</f>
      </c>
      <c r="P259" s="135">
        <f>IF(OR(N259="N",N259=""),"",IF(M259="","",IF(25-SUM($O$252:O259,$P$252:P258)&gt;M259,M259,25-SUM($O$252:O259,$P$252:P258))))</f>
        <v>4.150000000000013</v>
      </c>
      <c r="Q259" s="137" t="str">
        <f t="shared" si="192"/>
        <v>O</v>
      </c>
      <c r="R259" s="135">
        <f t="shared" si="193"/>
      </c>
      <c r="S259" s="141">
        <f t="shared" si="194"/>
        <v>8.099999999999987</v>
      </c>
      <c r="T259" s="31">
        <f>IF(N259="O",MAX(T$250:T258)+1,"")</f>
        <v>5</v>
      </c>
      <c r="U259" s="31">
        <f>IF(Q259="O",MAX(U$250:U258)+1,"")</f>
        <v>1</v>
      </c>
      <c r="V259" s="106">
        <f>IF(W259&lt;&gt;"",VLOOKUP($B$20,'Grille IND'!$A$5:$F$653,3,FALSE),"")</f>
        <v>15.91</v>
      </c>
      <c r="W259" s="106">
        <f t="shared" si="195"/>
        <v>4.150000000000013</v>
      </c>
      <c r="X259" s="107">
        <f>IF(Y259&lt;&gt;"",VLOOKUP($B$20,'Grille IND'!$A$5:$F$653,4,FALSE),"")</f>
      </c>
      <c r="Y259" s="107">
        <f t="shared" si="196"/>
      </c>
      <c r="Z259" s="108">
        <f>IF(AA259&lt;&gt;"",VLOOKUP($B$20,'Grille IND'!$A$5:$F$653,5,FALSE),"")</f>
      </c>
      <c r="AA259" s="108">
        <f t="shared" si="197"/>
      </c>
      <c r="AB259" s="109">
        <f>IF(AC259&lt;&gt;"",VLOOKUP($B$20,'Grille IND'!$A$5:$F$653,6,FALSE),"")</f>
      </c>
      <c r="AC259" s="109">
        <f t="shared" si="198"/>
      </c>
      <c r="AO259" s="105">
        <f aca="true" t="shared" si="200" ref="AO259:AO270">IF(D259&lt;&gt;"",IF(AND(ISERROR(VLOOKUP(D259,Fériés,1,0)),WEEKDAY(D259,2)&lt;=6),"",IF(WEEKDAY(D259,2)&gt;6,"D",IF(VLOOKUP(D259,Fériés,1,0),"F",""))),"")</f>
      </c>
    </row>
    <row r="260" spans="1:41" ht="15">
      <c r="A260" s="337"/>
      <c r="B260" s="139"/>
      <c r="C260" s="334"/>
      <c r="D260" s="133">
        <v>43170</v>
      </c>
      <c r="E260" s="210">
        <v>0.2916666666666667</v>
      </c>
      <c r="F260" s="213">
        <v>0.5104166666666666</v>
      </c>
      <c r="G260" s="213">
        <f t="shared" si="186"/>
        <v>0.21874999999999994</v>
      </c>
      <c r="H260" s="213">
        <f t="shared" si="187"/>
      </c>
      <c r="I260" s="213">
        <f t="shared" si="188"/>
      </c>
      <c r="J260" s="210">
        <f t="shared" si="189"/>
      </c>
      <c r="K260" s="135">
        <f t="shared" si="190"/>
      </c>
      <c r="L260" s="210">
        <f t="shared" si="199"/>
        <v>0.21874999999999994</v>
      </c>
      <c r="M260" s="135">
        <f t="shared" si="191"/>
        <v>5.249999999999998</v>
      </c>
      <c r="N260" s="272" t="str">
        <f>IF(AND(K260="",M260=""),"",IF(OR(SUM($O$252:$P$256,K$258:K260,M$258:M260)&lt;=25,AND(SUM($O$252:$P$256,K$257:K259,M$257:M259)&lt;=25,SUM($O$252:$P$256,K$258:K260,M$258:M260)&gt;25)),"O","N"))</f>
        <v>N</v>
      </c>
      <c r="O260" s="135">
        <f>IF(OR(N260="N",N260=""),"",IF(K260="","",IF((25-SUM(O$252:O259,P$252:P259))&gt;K260,K260,25-SUM(O$252:O259,P$252:P259))))</f>
      </c>
      <c r="P260" s="135">
        <f>IF(OR(N260="N",N260=""),"",IF(M260="","",IF(25-SUM($O$252:O260,$P$252:P259)&gt;M260,M260,25-SUM($O$252:O260,$P$252:P259))))</f>
      </c>
      <c r="Q260" s="137" t="str">
        <f t="shared" si="192"/>
        <v>O</v>
      </c>
      <c r="R260" s="135">
        <f t="shared" si="193"/>
      </c>
      <c r="S260" s="141">
        <f t="shared" si="194"/>
        <v>5.249999999999998</v>
      </c>
      <c r="T260" s="31">
        <f>IF(N260="O",MAX(T$250:T259)+1,"")</f>
      </c>
      <c r="U260" s="31">
        <f>IF(Q260="O",MAX(U$250:U259)+1,"")</f>
        <v>2</v>
      </c>
      <c r="V260" s="106">
        <f>IF(W260&lt;&gt;"",VLOOKUP($B$20,'Grille IND'!$A$5:$F$653,3,FALSE),"")</f>
      </c>
      <c r="W260" s="106">
        <f t="shared" si="195"/>
      </c>
      <c r="X260" s="107">
        <f>IF(Y260&lt;&gt;"",VLOOKUP($B$20,'Grille IND'!$A$5:$F$653,4,FALSE),"")</f>
      </c>
      <c r="Y260" s="107">
        <f t="shared" si="196"/>
      </c>
      <c r="Z260" s="108">
        <f>IF(AA260&lt;&gt;"",VLOOKUP($B$20,'Grille IND'!$A$5:$F$653,5,FALSE),"")</f>
      </c>
      <c r="AA260" s="108">
        <f t="shared" si="197"/>
      </c>
      <c r="AB260" s="109">
        <f>IF(AC260&lt;&gt;"",VLOOKUP($B$20,'Grille IND'!$A$5:$F$653,6,FALSE),"")</f>
      </c>
      <c r="AC260" s="109">
        <f t="shared" si="198"/>
      </c>
      <c r="AO260" s="105" t="str">
        <f t="shared" si="200"/>
        <v>D</v>
      </c>
    </row>
    <row r="261" spans="1:41" ht="15">
      <c r="A261" s="337"/>
      <c r="B261" s="139"/>
      <c r="C261" s="334"/>
      <c r="D261" s="133">
        <v>43184</v>
      </c>
      <c r="E261" s="210">
        <v>0.625</v>
      </c>
      <c r="F261" s="213">
        <v>0.9305555555555555</v>
      </c>
      <c r="G261" s="213">
        <f t="shared" si="186"/>
        <v>0.30555555555555547</v>
      </c>
      <c r="H261" s="213">
        <f t="shared" si="187"/>
      </c>
      <c r="I261" s="213">
        <f t="shared" si="188"/>
        <v>0.01388888888888884</v>
      </c>
      <c r="J261" s="210">
        <f t="shared" si="189"/>
        <v>0.01388888888888884</v>
      </c>
      <c r="K261" s="135">
        <f t="shared" si="190"/>
        <v>0.33333333333333215</v>
      </c>
      <c r="L261" s="210">
        <f t="shared" si="199"/>
        <v>0.29166666666666663</v>
      </c>
      <c r="M261" s="135">
        <f t="shared" si="191"/>
        <v>6.999999999999999</v>
      </c>
      <c r="N261" s="272" t="str">
        <f>IF(AND(K261="",M261=""),"",IF(OR(SUM($O$252:$P$256,K$258:K261,M$258:M261)&lt;=25,AND(SUM($O$252:$P$256,K$257:K260,M$257:M260)&lt;=25,SUM($O$252:$P$256,K$258:K261,M$258:M261)&gt;25)),"O","N"))</f>
        <v>N</v>
      </c>
      <c r="O261" s="135">
        <f>IF(OR(N261="N",N261=""),"",IF(K261="","",IF((25-SUM(O$252:O260,P$252:P260))&gt;K261,K261,25-SUM(O$252:O260,P$252:P260))))</f>
      </c>
      <c r="P261" s="135">
        <f>IF(OR(N261="N",N261=""),"",IF(M261="","",IF(25-SUM($O$252:O261,$P$252:P260)&gt;M261,M261,25-SUM($O$252:O261,$P$252:P260))))</f>
      </c>
      <c r="Q261" s="137" t="str">
        <f t="shared" si="192"/>
        <v>O</v>
      </c>
      <c r="R261" s="135">
        <f t="shared" si="193"/>
        <v>0.33333333333333215</v>
      </c>
      <c r="S261" s="141">
        <f t="shared" si="194"/>
        <v>6.999999999999999</v>
      </c>
      <c r="T261" s="31">
        <f>IF(N261="O",MAX(T$250:T260)+1,"")</f>
      </c>
      <c r="U261" s="31">
        <f>IF(Q261="O",MAX(U$250:U260)+1,"")</f>
        <v>3</v>
      </c>
      <c r="V261" s="106">
        <f>IF(W261&lt;&gt;"",VLOOKUP($B$20,'Grille IND'!$A$5:$F$653,3,FALSE),"")</f>
      </c>
      <c r="W261" s="106">
        <f t="shared" si="195"/>
      </c>
      <c r="X261" s="107">
        <f>IF(Y261&lt;&gt;"",VLOOKUP($B$20,'Grille IND'!$A$5:$F$653,4,FALSE),"")</f>
      </c>
      <c r="Y261" s="107">
        <f t="shared" si="196"/>
      </c>
      <c r="Z261" s="108">
        <f>IF(AA261&lt;&gt;"",VLOOKUP($B$20,'Grille IND'!$A$5:$F$653,5,FALSE),"")</f>
      </c>
      <c r="AA261" s="108">
        <f t="shared" si="197"/>
      </c>
      <c r="AB261" s="109">
        <f>IF(AC261&lt;&gt;"",VLOOKUP($B$20,'Grille IND'!$A$5:$F$653,6,FALSE),"")</f>
      </c>
      <c r="AC261" s="109">
        <f t="shared" si="198"/>
      </c>
      <c r="AO261" s="105" t="str">
        <f t="shared" si="200"/>
        <v>D</v>
      </c>
    </row>
    <row r="262" spans="1:41" ht="15">
      <c r="A262" s="337"/>
      <c r="B262" s="139"/>
      <c r="C262" s="334"/>
      <c r="D262" s="133"/>
      <c r="E262" s="210"/>
      <c r="F262" s="213"/>
      <c r="G262" s="213">
        <f t="shared" si="186"/>
      </c>
      <c r="H262" s="213">
        <f t="shared" si="187"/>
      </c>
      <c r="I262" s="213">
        <f t="shared" si="188"/>
      </c>
      <c r="J262" s="210">
        <f t="shared" si="189"/>
      </c>
      <c r="K262" s="135">
        <f t="shared" si="190"/>
      </c>
      <c r="L262" s="210">
        <f t="shared" si="199"/>
      </c>
      <c r="M262" s="135">
        <f t="shared" si="191"/>
      </c>
      <c r="N262" s="272">
        <f>IF(AND(K262="",M262=""),"",IF(OR(SUM($O$252:$P$256,K$258:K262,M$258:M262)&lt;=25,AND(SUM($O$252:$P$256,K$257:K261,M$257:M261)&lt;=25,SUM($O$252:$P$256,K$258:K262,M$258:M262)&gt;25)),"O","N"))</f>
      </c>
      <c r="O262" s="135">
        <f>IF(OR(N262="N",N262=""),"",IF(K262="","",IF((25-SUM(O$252:O261,P$252:P261))&gt;K262,K262,25-SUM(O$252:O261,P$252:P261))))</f>
      </c>
      <c r="P262" s="135">
        <f>IF(OR(N262="N",N262=""),"",IF(M262="","",IF(25-SUM($O$252:O262,$P$252:P261)&gt;M262,M262,25-SUM($O$252:O262,$P$252:P261))))</f>
      </c>
      <c r="Q262" s="137">
        <f t="shared" si="192"/>
      </c>
      <c r="R262" s="135">
        <f t="shared" si="193"/>
      </c>
      <c r="S262" s="141">
        <f t="shared" si="194"/>
      </c>
      <c r="T262" s="31">
        <f>IF(N262="O",MAX(T$250:T261)+1,"")</f>
      </c>
      <c r="U262" s="31">
        <f>IF(Q262="O",MAX(U$250:U261)+1,"")</f>
      </c>
      <c r="V262" s="106">
        <f>IF(W262&lt;&gt;"",VLOOKUP($B$20,'Grille IND'!$A$5:$F$653,3,FALSE),"")</f>
      </c>
      <c r="W262" s="106">
        <f t="shared" si="195"/>
      </c>
      <c r="X262" s="107">
        <f>IF(Y262&lt;&gt;"",VLOOKUP($B$20,'Grille IND'!$A$5:$F$653,4,FALSE),"")</f>
      </c>
      <c r="Y262" s="107">
        <f t="shared" si="196"/>
      </c>
      <c r="Z262" s="108">
        <f>IF(AA262&lt;&gt;"",VLOOKUP($B$20,'Grille IND'!$A$5:$F$653,5,FALSE),"")</f>
      </c>
      <c r="AA262" s="108">
        <f t="shared" si="197"/>
      </c>
      <c r="AB262" s="109">
        <f>IF(AC262&lt;&gt;"",VLOOKUP($B$20,'Grille IND'!$A$5:$F$653,6,FALSE),"")</f>
      </c>
      <c r="AC262" s="109">
        <f t="shared" si="198"/>
      </c>
      <c r="AO262" s="105">
        <f t="shared" si="200"/>
      </c>
    </row>
    <row r="263" spans="1:41" ht="15">
      <c r="A263" s="337"/>
      <c r="B263" s="139"/>
      <c r="C263" s="334"/>
      <c r="D263" s="133"/>
      <c r="E263" s="210"/>
      <c r="F263" s="213"/>
      <c r="G263" s="213">
        <f t="shared" si="186"/>
      </c>
      <c r="H263" s="213">
        <f t="shared" si="187"/>
      </c>
      <c r="I263" s="213">
        <f t="shared" si="188"/>
      </c>
      <c r="J263" s="210">
        <f t="shared" si="189"/>
      </c>
      <c r="K263" s="135">
        <f t="shared" si="190"/>
      </c>
      <c r="L263" s="210">
        <f t="shared" si="199"/>
      </c>
      <c r="M263" s="135">
        <f t="shared" si="191"/>
      </c>
      <c r="N263" s="272">
        <f>IF(AND(K263="",M263=""),"",IF(OR(SUM($O$252:$P$256,K$258:K263,M$258:M263)&lt;=25,AND(SUM($O$252:$P$256,K$257:K262,M$257:M262)&lt;=25,SUM($O$252:$P$256,K$258:K263,M$258:M263)&gt;25)),"O","N"))</f>
      </c>
      <c r="O263" s="135">
        <f>IF(OR(N263="N",N263=""),"",IF(K263="","",IF((25-SUM(O$252:O262,P$252:P262))&gt;K263,K263,25-SUM(O$252:O262,P$252:P262))))</f>
      </c>
      <c r="P263" s="135">
        <f>IF(OR(N263="N",N263=""),"",IF(M263="","",IF(25-SUM($O$252:O263,$P$252:P262)&gt;M263,M263,25-SUM($O$252:O263,$P$252:P262))))</f>
      </c>
      <c r="Q263" s="137">
        <f t="shared" si="192"/>
      </c>
      <c r="R263" s="135">
        <f t="shared" si="193"/>
      </c>
      <c r="S263" s="141">
        <f t="shared" si="194"/>
      </c>
      <c r="T263" s="31">
        <f>IF(N263="O",MAX(T$250:T262)+1,"")</f>
      </c>
      <c r="U263" s="31">
        <f>IF(Q263="O",MAX(U$250:U262)+1,"")</f>
      </c>
      <c r="V263" s="106">
        <f>IF(W263&lt;&gt;"",VLOOKUP($B$20,'Grille IND'!$A$5:$F$653,3,FALSE),"")</f>
      </c>
      <c r="W263" s="106">
        <f t="shared" si="195"/>
      </c>
      <c r="X263" s="107">
        <f>IF(Y263&lt;&gt;"",VLOOKUP($B$20,'Grille IND'!$A$5:$F$653,4,FALSE),"")</f>
      </c>
      <c r="Y263" s="107">
        <f t="shared" si="196"/>
      </c>
      <c r="Z263" s="108">
        <f>IF(AA263&lt;&gt;"",VLOOKUP($B$20,'Grille IND'!$A$5:$F$653,5,FALSE),"")</f>
      </c>
      <c r="AA263" s="108">
        <f t="shared" si="197"/>
      </c>
      <c r="AB263" s="109">
        <f>IF(AC263&lt;&gt;"",VLOOKUP($B$20,'Grille IND'!$A$5:$F$653,6,FALSE),"")</f>
      </c>
      <c r="AC263" s="109">
        <f t="shared" si="198"/>
      </c>
      <c r="AO263" s="105">
        <f t="shared" si="200"/>
      </c>
    </row>
    <row r="264" spans="1:41" ht="15">
      <c r="A264" s="337"/>
      <c r="B264" s="139"/>
      <c r="C264" s="334"/>
      <c r="D264" s="133"/>
      <c r="E264" s="210"/>
      <c r="F264" s="213"/>
      <c r="G264" s="213">
        <f t="shared" si="186"/>
      </c>
      <c r="H264" s="213">
        <f t="shared" si="187"/>
      </c>
      <c r="I264" s="213">
        <f t="shared" si="188"/>
      </c>
      <c r="J264" s="210">
        <f t="shared" si="189"/>
      </c>
      <c r="K264" s="135">
        <f t="shared" si="190"/>
      </c>
      <c r="L264" s="210">
        <f t="shared" si="199"/>
      </c>
      <c r="M264" s="135">
        <f t="shared" si="191"/>
      </c>
      <c r="N264" s="272">
        <f>IF(AND(K264="",M264=""),"",IF(OR(SUM($O$252:$P$256,K$258:K264,M$258:M264)&lt;=25,AND(SUM($O$252:$P$256,K$257:K263,M$257:M263)&lt;=25,SUM($O$252:$P$256,K$258:K264,M$258:M264)&gt;25)),"O","N"))</f>
      </c>
      <c r="O264" s="135">
        <f>IF(OR(N264="N",N264=""),"",IF(K264="","",IF((25-SUM(O$252:O263,P$252:P263))&gt;K264,K264,25-SUM(O$252:O263,P$252:P263))))</f>
      </c>
      <c r="P264" s="135">
        <f>IF(OR(N264="N",N264=""),"",IF(M264="","",IF(25-SUM($O$252:O264,$P$252:P263)&gt;M264,M264,25-SUM($O$252:O264,$P$252:P263))))</f>
      </c>
      <c r="Q264" s="137">
        <f t="shared" si="192"/>
      </c>
      <c r="R264" s="135">
        <f t="shared" si="193"/>
      </c>
      <c r="S264" s="141">
        <f t="shared" si="194"/>
      </c>
      <c r="T264" s="31">
        <f>IF(N264="O",MAX(T$250:T263)+1,"")</f>
      </c>
      <c r="U264" s="31">
        <f>IF(Q264="O",MAX(U$250:U263)+1,"")</f>
      </c>
      <c r="V264" s="106">
        <f>IF(W264&lt;&gt;"",VLOOKUP($B$20,'Grille IND'!$A$5:$F$653,3,FALSE),"")</f>
      </c>
      <c r="W264" s="106">
        <f t="shared" si="195"/>
      </c>
      <c r="X264" s="107">
        <f>IF(Y264&lt;&gt;"",VLOOKUP($B$20,'Grille IND'!$A$5:$F$653,4,FALSE),"")</f>
      </c>
      <c r="Y264" s="107">
        <f t="shared" si="196"/>
      </c>
      <c r="Z264" s="108">
        <f>IF(AA264&lt;&gt;"",VLOOKUP($B$20,'Grille IND'!$A$5:$F$653,5,FALSE),"")</f>
      </c>
      <c r="AA264" s="108">
        <f t="shared" si="197"/>
      </c>
      <c r="AB264" s="109">
        <f>IF(AC264&lt;&gt;"",VLOOKUP($B$20,'Grille IND'!$A$5:$F$653,6,FALSE),"")</f>
      </c>
      <c r="AC264" s="109">
        <f t="shared" si="198"/>
      </c>
      <c r="AO264" s="105">
        <f t="shared" si="200"/>
      </c>
    </row>
    <row r="265" spans="1:41" ht="15">
      <c r="A265" s="337"/>
      <c r="B265" s="139"/>
      <c r="C265" s="334"/>
      <c r="D265" s="133"/>
      <c r="E265" s="210"/>
      <c r="F265" s="213"/>
      <c r="G265" s="213">
        <f t="shared" si="186"/>
      </c>
      <c r="H265" s="213">
        <f t="shared" si="187"/>
      </c>
      <c r="I265" s="213">
        <f t="shared" si="188"/>
      </c>
      <c r="J265" s="210">
        <f t="shared" si="189"/>
      </c>
      <c r="K265" s="135">
        <f t="shared" si="190"/>
      </c>
      <c r="L265" s="210">
        <f t="shared" si="199"/>
      </c>
      <c r="M265" s="135">
        <f t="shared" si="191"/>
      </c>
      <c r="N265" s="272">
        <f>IF(AND(K265="",M265=""),"",IF(OR(SUM($O$252:$P$256,K$258:K265,M$258:M265)&lt;=25,AND(SUM($O$252:$P$256,K$257:K264,M$257:M264)&lt;=25,SUM($O$252:$P$256,K$258:K265,M$258:M265)&gt;25)),"O","N"))</f>
      </c>
      <c r="O265" s="135">
        <f>IF(OR(N265="N",N265=""),"",IF(K265="","",IF((25-SUM(O$252:O264,P$252:P264))&gt;K265,K265,25-SUM(O$252:O264,P$252:P264))))</f>
      </c>
      <c r="P265" s="135">
        <f>IF(OR(N265="N",N265=""),"",IF(M265="","",IF(25-SUM($O$252:O265,$P$252:P264)&gt;M265,M265,25-SUM($O$252:O265,$P$252:P264))))</f>
      </c>
      <c r="Q265" s="137">
        <f t="shared" si="192"/>
      </c>
      <c r="R265" s="135">
        <f t="shared" si="193"/>
      </c>
      <c r="S265" s="141">
        <f t="shared" si="194"/>
      </c>
      <c r="T265" s="31">
        <f>IF(N265="O",MAX(T$250:T264)+1,"")</f>
      </c>
      <c r="U265" s="31">
        <f>IF(Q265="O",MAX(U$250:U264)+1,"")</f>
      </c>
      <c r="V265" s="106">
        <f>IF(W265&lt;&gt;"",VLOOKUP($B$20,'Grille IND'!$A$5:$F$653,3,FALSE),"")</f>
      </c>
      <c r="W265" s="106">
        <f t="shared" si="195"/>
      </c>
      <c r="X265" s="107">
        <f>IF(Y265&lt;&gt;"",VLOOKUP($B$20,'Grille IND'!$A$5:$F$653,4,FALSE),"")</f>
      </c>
      <c r="Y265" s="107">
        <f t="shared" si="196"/>
      </c>
      <c r="Z265" s="108">
        <f>IF(AA265&lt;&gt;"",VLOOKUP($B$20,'Grille IND'!$A$5:$F$653,5,FALSE),"")</f>
      </c>
      <c r="AA265" s="108">
        <f t="shared" si="197"/>
      </c>
      <c r="AB265" s="109">
        <f>IF(AC265&lt;&gt;"",VLOOKUP($B$20,'Grille IND'!$A$5:$F$653,6,FALSE),"")</f>
      </c>
      <c r="AC265" s="109">
        <f t="shared" si="198"/>
      </c>
      <c r="AO265" s="105">
        <f t="shared" si="200"/>
      </c>
    </row>
    <row r="266" spans="1:41" ht="15">
      <c r="A266" s="337"/>
      <c r="B266" s="139"/>
      <c r="C266" s="334"/>
      <c r="D266" s="133"/>
      <c r="E266" s="210"/>
      <c r="F266" s="213"/>
      <c r="G266" s="213">
        <f t="shared" si="186"/>
      </c>
      <c r="H266" s="213">
        <f t="shared" si="187"/>
      </c>
      <c r="I266" s="213">
        <f t="shared" si="188"/>
      </c>
      <c r="J266" s="210">
        <f t="shared" si="189"/>
      </c>
      <c r="K266" s="135">
        <f t="shared" si="190"/>
      </c>
      <c r="L266" s="210">
        <f t="shared" si="199"/>
      </c>
      <c r="M266" s="135">
        <f t="shared" si="191"/>
      </c>
      <c r="N266" s="272">
        <f>IF(AND(K266="",M266=""),"",IF(OR(SUM($O$252:$P$256,K$258:K266,M$258:M266)&lt;=25,AND(SUM($O$252:$P$256,K$257:K265,M$257:M265)&lt;=25,SUM($O$252:$P$256,K$258:K266,M$258:M266)&gt;25)),"O","N"))</f>
      </c>
      <c r="O266" s="135">
        <f>IF(OR(N266="N",N266=""),"",IF(K266="","",IF((25-SUM(O$252:O265,P$252:P265))&gt;K266,K266,25-SUM(O$252:O265,P$252:P265))))</f>
      </c>
      <c r="P266" s="135">
        <f>IF(OR(N266="N",N266=""),"",IF(M266="","",IF(25-SUM($O$252:O266,$P$252:P265)&gt;M266,M266,25-SUM($O$252:O266,$P$252:P265))))</f>
      </c>
      <c r="Q266" s="137">
        <f t="shared" si="192"/>
      </c>
      <c r="R266" s="135">
        <f t="shared" si="193"/>
      </c>
      <c r="S266" s="141">
        <f t="shared" si="194"/>
      </c>
      <c r="T266" s="31">
        <f>IF(N266="O",MAX(T$250:T265)+1,"")</f>
      </c>
      <c r="U266" s="31">
        <f>IF(Q266="O",MAX(U$250:U265)+1,"")</f>
      </c>
      <c r="V266" s="106">
        <f>IF(W266&lt;&gt;"",VLOOKUP($B$20,'Grille IND'!$A$5:$F$653,3,FALSE),"")</f>
      </c>
      <c r="W266" s="106">
        <f t="shared" si="195"/>
      </c>
      <c r="X266" s="107">
        <f>IF(Y266&lt;&gt;"",VLOOKUP($B$20,'Grille IND'!$A$5:$F$653,4,FALSE),"")</f>
      </c>
      <c r="Y266" s="107">
        <f t="shared" si="196"/>
      </c>
      <c r="Z266" s="108">
        <f>IF(AA266&lt;&gt;"",VLOOKUP($B$20,'Grille IND'!$A$5:$F$653,5,FALSE),"")</f>
      </c>
      <c r="AA266" s="108">
        <f t="shared" si="197"/>
      </c>
      <c r="AB266" s="109">
        <f>IF(AC266&lt;&gt;"",VLOOKUP($B$20,'Grille IND'!$A$5:$F$653,6,FALSE),"")</f>
      </c>
      <c r="AC266" s="109">
        <f t="shared" si="198"/>
      </c>
      <c r="AO266" s="105">
        <f t="shared" si="200"/>
      </c>
    </row>
    <row r="267" spans="1:41" ht="15">
      <c r="A267" s="337"/>
      <c r="B267" s="139"/>
      <c r="C267" s="334"/>
      <c r="D267" s="133"/>
      <c r="E267" s="210"/>
      <c r="F267" s="213"/>
      <c r="G267" s="213">
        <f t="shared" si="186"/>
      </c>
      <c r="H267" s="213">
        <f t="shared" si="187"/>
      </c>
      <c r="I267" s="213">
        <f t="shared" si="188"/>
      </c>
      <c r="J267" s="210">
        <f t="shared" si="189"/>
      </c>
      <c r="K267" s="135">
        <f t="shared" si="190"/>
      </c>
      <c r="L267" s="210">
        <f t="shared" si="199"/>
      </c>
      <c r="M267" s="135">
        <f t="shared" si="191"/>
      </c>
      <c r="N267" s="272">
        <f>IF(AND(K267="",M267=""),"",IF(OR(SUM($O$252:$P$256,K$258:K267,M$258:M267)&lt;=25,AND(SUM($O$252:$P$256,K$257:K266,M$257:M266)&lt;=25,SUM($O$252:$P$256,K$258:K267,M$258:M267)&gt;25)),"O","N"))</f>
      </c>
      <c r="O267" s="135">
        <f>IF(OR(N267="N",N267=""),"",IF(K267="","",IF((25-SUM(O$252:O266,P$252:P266))&gt;K267,K267,25-SUM(O$252:O266,P$252:P266))))</f>
      </c>
      <c r="P267" s="135">
        <f>IF(OR(N267="N",N267=""),"",IF(M267="","",IF(25-SUM($O$252:O267,$P$252:P266)&gt;M267,M267,25-SUM($O$252:O267,$P$252:P266))))</f>
      </c>
      <c r="Q267" s="137">
        <f t="shared" si="192"/>
      </c>
      <c r="R267" s="135">
        <f t="shared" si="193"/>
      </c>
      <c r="S267" s="141">
        <f t="shared" si="194"/>
      </c>
      <c r="T267" s="31">
        <f>IF(N267="O",MAX(T$250:T266)+1,"")</f>
      </c>
      <c r="U267" s="31">
        <f>IF(Q267="O",MAX(U$250:U266)+1,"")</f>
      </c>
      <c r="V267" s="106">
        <f>IF(W267&lt;&gt;"",VLOOKUP($B$20,'Grille IND'!$A$5:$F$653,3,FALSE),"")</f>
      </c>
      <c r="W267" s="106">
        <f t="shared" si="195"/>
      </c>
      <c r="X267" s="107">
        <f>IF(Y267&lt;&gt;"",VLOOKUP($B$20,'Grille IND'!$A$5:$F$653,4,FALSE),"")</f>
      </c>
      <c r="Y267" s="107">
        <f t="shared" si="196"/>
      </c>
      <c r="Z267" s="108">
        <f>IF(AA267&lt;&gt;"",VLOOKUP($B$20,'Grille IND'!$A$5:$F$653,5,FALSE),"")</f>
      </c>
      <c r="AA267" s="108">
        <f t="shared" si="197"/>
      </c>
      <c r="AB267" s="109">
        <f>IF(AC267&lt;&gt;"",VLOOKUP($B$20,'Grille IND'!$A$5:$F$653,6,FALSE),"")</f>
      </c>
      <c r="AC267" s="109">
        <f t="shared" si="198"/>
      </c>
      <c r="AO267" s="105">
        <f t="shared" si="200"/>
      </c>
    </row>
    <row r="268" spans="1:41" ht="15">
      <c r="A268" s="337"/>
      <c r="B268" s="139"/>
      <c r="C268" s="334"/>
      <c r="D268" s="133"/>
      <c r="E268" s="210"/>
      <c r="F268" s="213"/>
      <c r="G268" s="213">
        <f t="shared" si="186"/>
      </c>
      <c r="H268" s="213">
        <f t="shared" si="187"/>
      </c>
      <c r="I268" s="213">
        <f t="shared" si="188"/>
      </c>
      <c r="J268" s="210">
        <f t="shared" si="189"/>
      </c>
      <c r="K268" s="135">
        <f t="shared" si="190"/>
      </c>
      <c r="L268" s="210">
        <f t="shared" si="199"/>
      </c>
      <c r="M268" s="135">
        <f t="shared" si="191"/>
      </c>
      <c r="N268" s="272">
        <f>IF(AND(K268="",M268=""),"",IF(OR(SUM($O$252:$P$256,K$258:K268,M$258:M268)&lt;=25,AND(SUM($O$252:$P$256,K$257:K267,M$257:M267)&lt;=25,SUM($O$252:$P$256,K$258:K268,M$258:M268)&gt;25)),"O","N"))</f>
      </c>
      <c r="O268" s="135">
        <f>IF(OR(N268="N",N268=""),"",IF(K268="","",IF((25-SUM(O$252:O267,P$252:P267))&gt;K268,K268,25-SUM(O$252:O267,P$252:P267))))</f>
      </c>
      <c r="P268" s="135">
        <f>IF(OR(N268="N",N268=""),"",IF(M268="","",IF(25-SUM($O$252:O268,$P$252:P267)&gt;M268,M268,25-SUM($O$252:O268,$P$252:P267))))</f>
      </c>
      <c r="Q268" s="137">
        <f t="shared" si="192"/>
      </c>
      <c r="R268" s="135">
        <f t="shared" si="193"/>
      </c>
      <c r="S268" s="141">
        <f t="shared" si="194"/>
      </c>
      <c r="T268" s="31">
        <f>IF(N268="O",MAX(T$250:T267)+1,"")</f>
      </c>
      <c r="U268" s="31">
        <f>IF(Q268="O",MAX(U$250:U267)+1,"")</f>
      </c>
      <c r="V268" s="106">
        <f>IF(W268&lt;&gt;"",VLOOKUP($B$20,'Grille IND'!$A$5:$F$653,3,FALSE),"")</f>
      </c>
      <c r="W268" s="106">
        <f t="shared" si="195"/>
      </c>
      <c r="X268" s="107">
        <f>IF(Y268&lt;&gt;"",VLOOKUP($B$20,'Grille IND'!$A$5:$F$653,4,FALSE),"")</f>
      </c>
      <c r="Y268" s="107">
        <f t="shared" si="196"/>
      </c>
      <c r="Z268" s="108">
        <f>IF(AA268&lt;&gt;"",VLOOKUP($B$20,'Grille IND'!$A$5:$F$653,5,FALSE),"")</f>
      </c>
      <c r="AA268" s="108">
        <f t="shared" si="197"/>
      </c>
      <c r="AB268" s="109">
        <f>IF(AC268&lt;&gt;"",VLOOKUP($B$20,'Grille IND'!$A$5:$F$653,6,FALSE),"")</f>
      </c>
      <c r="AC268" s="109">
        <f t="shared" si="198"/>
      </c>
      <c r="AO268" s="105">
        <f t="shared" si="200"/>
      </c>
    </row>
    <row r="269" spans="1:41" ht="15">
      <c r="A269" s="337"/>
      <c r="B269" s="139"/>
      <c r="C269" s="334"/>
      <c r="D269" s="133"/>
      <c r="E269" s="210"/>
      <c r="F269" s="213"/>
      <c r="G269" s="213">
        <f t="shared" si="186"/>
      </c>
      <c r="H269" s="213">
        <f t="shared" si="187"/>
      </c>
      <c r="I269" s="213">
        <f t="shared" si="188"/>
      </c>
      <c r="J269" s="210">
        <f t="shared" si="189"/>
      </c>
      <c r="K269" s="135">
        <f t="shared" si="190"/>
      </c>
      <c r="L269" s="210">
        <f t="shared" si="199"/>
      </c>
      <c r="M269" s="135">
        <f t="shared" si="191"/>
      </c>
      <c r="N269" s="272">
        <f>IF(AND(K269="",M269=""),"",IF(OR(SUM($O$252:$P$256,K$258:K269,M$258:M269)&lt;=25,AND(SUM($O$252:$P$256,K$257:K268,M$257:M268)&lt;=25,SUM($O$252:$P$256,K$258:K269,M$258:M269)&gt;25)),"O","N"))</f>
      </c>
      <c r="O269" s="135">
        <f>IF(OR(N269="N",N269=""),"",IF(K269="","",IF((25-SUM(O$252:O268,P$252:P268))&gt;K269,K269,25-SUM(O$252:O268,P$252:P268))))</f>
      </c>
      <c r="P269" s="135">
        <f>IF(OR(N269="N",N269=""),"",IF(M269="","",IF(25-SUM($O$252:O269,$P$252:P268)&gt;M269,M269,25-SUM($O$252:O269,$P$252:P268))))</f>
      </c>
      <c r="Q269" s="137">
        <f t="shared" si="192"/>
      </c>
      <c r="R269" s="135">
        <f t="shared" si="193"/>
      </c>
      <c r="S269" s="141">
        <f t="shared" si="194"/>
      </c>
      <c r="T269" s="31">
        <f>IF(N269="O",MAX(T$250:T268)+1,"")</f>
      </c>
      <c r="U269" s="31">
        <f>IF(Q269="O",MAX(U$250:U268)+1,"")</f>
      </c>
      <c r="V269" s="106">
        <f>IF(W269&lt;&gt;"",VLOOKUP($B$20,'Grille IND'!$A$5:$F$653,3,FALSE),"")</f>
      </c>
      <c r="W269" s="106">
        <f t="shared" si="195"/>
      </c>
      <c r="X269" s="107">
        <f>IF(Y269&lt;&gt;"",VLOOKUP($B$20,'Grille IND'!$A$5:$F$653,4,FALSE),"")</f>
      </c>
      <c r="Y269" s="107">
        <f t="shared" si="196"/>
      </c>
      <c r="Z269" s="108">
        <f>IF(AA269&lt;&gt;"",VLOOKUP($B$20,'Grille IND'!$A$5:$F$653,5,FALSE),"")</f>
      </c>
      <c r="AA269" s="108">
        <f t="shared" si="197"/>
      </c>
      <c r="AB269" s="109">
        <f>IF(AC269&lt;&gt;"",VLOOKUP($B$20,'Grille IND'!$A$5:$F$653,6,FALSE),"")</f>
      </c>
      <c r="AC269" s="109">
        <f t="shared" si="198"/>
      </c>
      <c r="AO269" s="105">
        <f t="shared" si="200"/>
      </c>
    </row>
    <row r="270" spans="1:41" ht="15">
      <c r="A270" s="337"/>
      <c r="B270" s="139"/>
      <c r="C270" s="334"/>
      <c r="D270" s="133"/>
      <c r="E270" s="210"/>
      <c r="F270" s="213"/>
      <c r="G270" s="213">
        <f t="shared" si="186"/>
      </c>
      <c r="H270" s="213">
        <f t="shared" si="187"/>
      </c>
      <c r="I270" s="213">
        <f t="shared" si="188"/>
      </c>
      <c r="J270" s="210">
        <f t="shared" si="189"/>
      </c>
      <c r="K270" s="135">
        <f t="shared" si="190"/>
      </c>
      <c r="L270" s="210">
        <f t="shared" si="199"/>
      </c>
      <c r="M270" s="135">
        <f t="shared" si="191"/>
      </c>
      <c r="N270" s="272">
        <f>IF(AND(K270="",M270=""),"",IF(OR(SUM($O$252:$P$256,K$258:K270,M$258:M270)&lt;=25,AND(SUM($O$252:$P$256,K$257:K269,M$257:M269)&lt;=25,SUM($O$252:$P$256,K$258:K270,M$258:M270)&gt;25)),"O","N"))</f>
      </c>
      <c r="O270" s="135">
        <f>IF(OR(N270="N",N270=""),"",IF(K270="","",IF((25-SUM(O$252:O269,P$252:P269))&gt;K270,K270,25-SUM(O$252:O269,P$252:P269))))</f>
      </c>
      <c r="P270" s="135">
        <f>IF(OR(N270="N",N270=""),"",IF(M270="","",IF(25-SUM($O$252:O270,$P$252:P269)&gt;M270,M270,25-SUM($O$252:O270,$P$252:P269))))</f>
      </c>
      <c r="Q270" s="137">
        <f t="shared" si="192"/>
      </c>
      <c r="R270" s="135">
        <f t="shared" si="193"/>
      </c>
      <c r="S270" s="141">
        <f t="shared" si="194"/>
      </c>
      <c r="T270" s="31">
        <f>IF(N270="O",MAX(T$250:T269)+1,"")</f>
      </c>
      <c r="U270" s="31">
        <f>IF(Q270="O",MAX(U$250:U269)+1,"")</f>
      </c>
      <c r="V270" s="106">
        <f>IF(W270&lt;&gt;"",VLOOKUP($B$20,'Grille IND'!$A$5:$F$653,3,FALSE),"")</f>
      </c>
      <c r="W270" s="106">
        <f t="shared" si="195"/>
      </c>
      <c r="X270" s="107">
        <f>IF(Y270&lt;&gt;"",VLOOKUP($B$20,'Grille IND'!$A$5:$F$653,4,FALSE),"")</f>
      </c>
      <c r="Y270" s="107">
        <f t="shared" si="196"/>
      </c>
      <c r="Z270" s="108">
        <f>IF(AA270&lt;&gt;"",VLOOKUP($B$20,'Grille IND'!$A$5:$F$653,5,FALSE),"")</f>
      </c>
      <c r="AA270" s="108">
        <f t="shared" si="197"/>
      </c>
      <c r="AB270" s="109">
        <f>IF(AC270&lt;&gt;"",VLOOKUP($B$20,'Grille IND'!$A$5:$F$653,6,FALSE),"")</f>
      </c>
      <c r="AC270" s="109">
        <f t="shared" si="198"/>
      </c>
      <c r="AO270" s="105">
        <f t="shared" si="200"/>
      </c>
    </row>
    <row r="271" spans="1:41" ht="18" thickBot="1">
      <c r="A271" s="337"/>
      <c r="B271" s="139"/>
      <c r="C271" s="334"/>
      <c r="D271" s="202"/>
      <c r="E271" s="208"/>
      <c r="F271" s="230"/>
      <c r="G271" s="230"/>
      <c r="H271" s="335" t="s">
        <v>29</v>
      </c>
      <c r="I271" s="335"/>
      <c r="J271" s="208">
        <f>SUM(J258:J267)</f>
        <v>0.01388888888888884</v>
      </c>
      <c r="K271" s="163">
        <f>SUM(K252:K270)</f>
        <v>0.6666666666666643</v>
      </c>
      <c r="L271" s="208">
        <f>SUM(L258:L267)</f>
        <v>1.2291666666666665</v>
      </c>
      <c r="M271" s="163">
        <f>SUM(M252:M270)</f>
        <v>50</v>
      </c>
      <c r="N271" s="201"/>
      <c r="O271" s="336">
        <f>SUM(O256:P270)</f>
        <v>9.150000000000013</v>
      </c>
      <c r="P271" s="336"/>
      <c r="Q271" s="177"/>
      <c r="R271" s="257">
        <f>SUM(R256:R270)</f>
        <v>0.33333333333333215</v>
      </c>
      <c r="S271" s="257">
        <f>SUM(S256:S270)</f>
        <v>20.349999999999984</v>
      </c>
      <c r="T271" s="31">
        <f>IF(N271="O",MAX(T$112,T270)+1,"")</f>
      </c>
      <c r="U271" s="31">
        <f>IF(Q271="O",MAX(U$112,U270)+1,"")</f>
      </c>
      <c r="V271" s="239"/>
      <c r="W271" s="239">
        <f>SUM(W252:W270)</f>
        <v>12.416666666666671</v>
      </c>
      <c r="X271" s="240"/>
      <c r="Y271" s="240">
        <f>SUM(Y252:Y270)</f>
        <v>0</v>
      </c>
      <c r="Z271" s="241"/>
      <c r="AA271" s="241">
        <f>SUM(AA252:AA270)</f>
        <v>12.249999999999996</v>
      </c>
      <c r="AB271" s="242"/>
      <c r="AC271" s="242">
        <f>SUM(AC252:AC270)</f>
        <v>0.33333333333333215</v>
      </c>
      <c r="AO271" s="24">
        <f aca="true" t="shared" si="201" ref="AO271:AO297">IF(AND(ISERROR(VLOOKUP(D361,Fériés,1,0)),WEEKDAY(D361,2)&lt;=6),"",IF(WEEKDAY(D361,2)&gt;6,"D",IF(VLOOKUP(D361,Fériés,1,0),"F","")))</f>
      </c>
    </row>
    <row r="272" spans="1:41" ht="19.5" customHeight="1">
      <c r="A272" s="184"/>
      <c r="B272" s="185"/>
      <c r="C272" s="185"/>
      <c r="D272" s="186"/>
      <c r="E272" s="223"/>
      <c r="F272" s="232"/>
      <c r="G272" s="232"/>
      <c r="H272" s="187"/>
      <c r="I272" s="187"/>
      <c r="J272" s="223"/>
      <c r="K272" s="188"/>
      <c r="L272" s="223"/>
      <c r="M272" s="188"/>
      <c r="N272" s="200"/>
      <c r="O272" s="200"/>
      <c r="P272" s="188"/>
      <c r="Q272" s="191"/>
      <c r="R272" s="191"/>
      <c r="S272" s="188"/>
      <c r="T272" s="31">
        <f>IF(N272="O",MAX(T$112,T271)+1,"")</f>
      </c>
      <c r="U272" s="31">
        <f>IF(Q272="O",MAX(U$112,U271)+1,"")</f>
      </c>
      <c r="V272" s="239"/>
      <c r="W272" s="239">
        <f>SUMPRODUCT(V252:V270,W252:W270)</f>
        <v>197.54916666666674</v>
      </c>
      <c r="X272" s="240"/>
      <c r="Y272" s="240">
        <f>SUMPRODUCT(X252:X270,Y252:Y270)</f>
        <v>0</v>
      </c>
      <c r="Z272" s="241"/>
      <c r="AA272" s="241">
        <f>SUMPRODUCT(Z252:Z270,AA252:AA270)</f>
        <v>324.86999999999995</v>
      </c>
      <c r="AB272" s="242"/>
      <c r="AC272" s="242">
        <f>SUMPRODUCT(AB252:AB270,AC252:AC270)</f>
        <v>10.606666666666628</v>
      </c>
      <c r="AO272" s="24">
        <f t="shared" si="201"/>
      </c>
    </row>
    <row r="273" ht="15">
      <c r="AO273" s="24">
        <f t="shared" si="201"/>
      </c>
    </row>
    <row r="274" ht="15">
      <c r="AO274" s="24">
        <f t="shared" si="201"/>
      </c>
    </row>
    <row r="275" ht="15">
      <c r="AO275" s="24">
        <f t="shared" si="201"/>
      </c>
    </row>
    <row r="276" ht="15">
      <c r="AO276" s="24">
        <f t="shared" si="201"/>
      </c>
    </row>
    <row r="277" ht="15">
      <c r="AO277" s="24">
        <f t="shared" si="201"/>
      </c>
    </row>
    <row r="278" ht="15">
      <c r="AO278" s="24">
        <f t="shared" si="201"/>
      </c>
    </row>
    <row r="279" ht="15">
      <c r="AO279" s="24">
        <f t="shared" si="201"/>
      </c>
    </row>
    <row r="280" ht="15">
      <c r="AO280" s="24">
        <f t="shared" si="201"/>
      </c>
    </row>
    <row r="281" ht="15">
      <c r="AO281" s="24">
        <f t="shared" si="201"/>
      </c>
    </row>
    <row r="282" ht="15">
      <c r="AO282" s="24">
        <f t="shared" si="201"/>
      </c>
    </row>
    <row r="283" ht="15">
      <c r="AO283" s="24">
        <f t="shared" si="201"/>
      </c>
    </row>
    <row r="284" ht="15">
      <c r="AO284" s="24">
        <f t="shared" si="201"/>
      </c>
    </row>
    <row r="285" ht="15">
      <c r="AO285" s="24">
        <f t="shared" si="201"/>
      </c>
    </row>
    <row r="286" ht="15">
      <c r="AO286" s="24">
        <f t="shared" si="201"/>
      </c>
    </row>
    <row r="287" ht="15">
      <c r="AO287" s="24">
        <f t="shared" si="201"/>
      </c>
    </row>
    <row r="288" ht="15">
      <c r="AO288" s="24">
        <f t="shared" si="201"/>
      </c>
    </row>
    <row r="289" ht="15">
      <c r="AO289" s="24">
        <f t="shared" si="201"/>
      </c>
    </row>
    <row r="290" ht="15">
      <c r="AO290" s="24">
        <f t="shared" si="201"/>
      </c>
    </row>
    <row r="291" ht="15">
      <c r="AO291" s="24">
        <f t="shared" si="201"/>
      </c>
    </row>
    <row r="292" ht="15">
      <c r="AO292" s="24">
        <f t="shared" si="201"/>
      </c>
    </row>
    <row r="293" ht="15">
      <c r="AO293" s="24">
        <f t="shared" si="201"/>
      </c>
    </row>
    <row r="294" ht="15">
      <c r="AO294" s="24">
        <f t="shared" si="201"/>
      </c>
    </row>
    <row r="295" ht="15">
      <c r="AO295" s="24">
        <f t="shared" si="201"/>
      </c>
    </row>
    <row r="296" ht="15">
      <c r="AO296" s="24">
        <f t="shared" si="201"/>
      </c>
    </row>
    <row r="297" ht="15">
      <c r="AO297" s="24">
        <f t="shared" si="201"/>
      </c>
    </row>
    <row r="298" ht="15">
      <c r="AO298" s="24">
        <f aca="true" t="shared" si="202" ref="AO298:AO361">IF(AND(ISERROR(VLOOKUP(D388,Fériés,1,0)),WEEKDAY(D388,2)&lt;=6),"",IF(WEEKDAY(D388,2)&gt;6,"D",IF(VLOOKUP(D388,Fériés,1,0),"F","")))</f>
      </c>
    </row>
    <row r="299" ht="15">
      <c r="AO299" s="24">
        <f t="shared" si="202"/>
      </c>
    </row>
    <row r="300" ht="15">
      <c r="AO300" s="24">
        <f t="shared" si="202"/>
      </c>
    </row>
    <row r="301" ht="15">
      <c r="AO301" s="24">
        <f t="shared" si="202"/>
      </c>
    </row>
    <row r="302" ht="15">
      <c r="AO302" s="24">
        <f t="shared" si="202"/>
      </c>
    </row>
    <row r="303" ht="15">
      <c r="AO303" s="24">
        <f t="shared" si="202"/>
      </c>
    </row>
    <row r="304" ht="15">
      <c r="AO304" s="24">
        <f t="shared" si="202"/>
      </c>
    </row>
    <row r="305" ht="15">
      <c r="AO305" s="24">
        <f t="shared" si="202"/>
      </c>
    </row>
    <row r="306" ht="15">
      <c r="AO306" s="24">
        <f t="shared" si="202"/>
      </c>
    </row>
    <row r="307" ht="15">
      <c r="AO307" s="24">
        <f t="shared" si="202"/>
      </c>
    </row>
    <row r="308" ht="15">
      <c r="AO308" s="24">
        <f t="shared" si="202"/>
      </c>
    </row>
    <row r="309" ht="15">
      <c r="AO309" s="24">
        <f t="shared" si="202"/>
      </c>
    </row>
    <row r="310" ht="15">
      <c r="AO310" s="24">
        <f t="shared" si="202"/>
      </c>
    </row>
    <row r="311" ht="15">
      <c r="AO311" s="24">
        <f t="shared" si="202"/>
      </c>
    </row>
    <row r="312" ht="15">
      <c r="AO312" s="24">
        <f t="shared" si="202"/>
      </c>
    </row>
    <row r="313" ht="15">
      <c r="AO313" s="24">
        <f t="shared" si="202"/>
      </c>
    </row>
    <row r="314" ht="15">
      <c r="AO314" s="24">
        <f t="shared" si="202"/>
      </c>
    </row>
    <row r="315" ht="15">
      <c r="AO315" s="24">
        <f t="shared" si="202"/>
      </c>
    </row>
    <row r="316" ht="15">
      <c r="AO316" s="24">
        <f t="shared" si="202"/>
      </c>
    </row>
    <row r="317" ht="15">
      <c r="AO317" s="24">
        <f t="shared" si="202"/>
      </c>
    </row>
    <row r="318" ht="15">
      <c r="AO318" s="24">
        <f t="shared" si="202"/>
      </c>
    </row>
    <row r="319" ht="15">
      <c r="AO319" s="24">
        <f t="shared" si="202"/>
      </c>
    </row>
    <row r="320" ht="15">
      <c r="AO320" s="24">
        <f t="shared" si="202"/>
      </c>
    </row>
    <row r="321" ht="15">
      <c r="AO321" s="24">
        <f t="shared" si="202"/>
      </c>
    </row>
    <row r="322" ht="15">
      <c r="AO322" s="24">
        <f t="shared" si="202"/>
      </c>
    </row>
    <row r="323" ht="15">
      <c r="AO323" s="24">
        <f t="shared" si="202"/>
      </c>
    </row>
    <row r="324" ht="15">
      <c r="AO324" s="24">
        <f t="shared" si="202"/>
      </c>
    </row>
    <row r="325" ht="15">
      <c r="AO325" s="24">
        <f t="shared" si="202"/>
      </c>
    </row>
    <row r="326" ht="15">
      <c r="AO326" s="24">
        <f t="shared" si="202"/>
      </c>
    </row>
    <row r="327" ht="15">
      <c r="AO327" s="24">
        <f t="shared" si="202"/>
      </c>
    </row>
    <row r="328" ht="15">
      <c r="AO328" s="24">
        <f t="shared" si="202"/>
      </c>
    </row>
    <row r="329" ht="15">
      <c r="AO329" s="24">
        <f t="shared" si="202"/>
      </c>
    </row>
    <row r="330" ht="15">
      <c r="AO330" s="24">
        <f t="shared" si="202"/>
      </c>
    </row>
    <row r="331" ht="15">
      <c r="AO331" s="24">
        <f t="shared" si="202"/>
      </c>
    </row>
    <row r="332" ht="15">
      <c r="AO332" s="24">
        <f t="shared" si="202"/>
      </c>
    </row>
    <row r="333" ht="15">
      <c r="AO333" s="24">
        <f t="shared" si="202"/>
      </c>
    </row>
    <row r="334" ht="15">
      <c r="AO334" s="24">
        <f t="shared" si="202"/>
      </c>
    </row>
    <row r="335" ht="15">
      <c r="AO335" s="24">
        <f t="shared" si="202"/>
      </c>
    </row>
    <row r="336" ht="15">
      <c r="AO336" s="24">
        <f t="shared" si="202"/>
      </c>
    </row>
    <row r="337" ht="15">
      <c r="AO337" s="24">
        <f t="shared" si="202"/>
      </c>
    </row>
    <row r="338" ht="15">
      <c r="AO338" s="24">
        <f t="shared" si="202"/>
      </c>
    </row>
    <row r="339" ht="15">
      <c r="AO339" s="24">
        <f t="shared" si="202"/>
      </c>
    </row>
    <row r="340" ht="15">
      <c r="AO340" s="24">
        <f t="shared" si="202"/>
      </c>
    </row>
    <row r="341" ht="15">
      <c r="AO341" s="24">
        <f t="shared" si="202"/>
      </c>
    </row>
    <row r="342" ht="15">
      <c r="AO342" s="24">
        <f t="shared" si="202"/>
      </c>
    </row>
    <row r="343" ht="15">
      <c r="AO343" s="24">
        <f t="shared" si="202"/>
      </c>
    </row>
    <row r="344" ht="15">
      <c r="AO344" s="24">
        <f t="shared" si="202"/>
      </c>
    </row>
    <row r="345" ht="15">
      <c r="AO345" s="24">
        <f t="shared" si="202"/>
      </c>
    </row>
    <row r="346" ht="15">
      <c r="AO346" s="24">
        <f t="shared" si="202"/>
      </c>
    </row>
    <row r="347" ht="15">
      <c r="AO347" s="24">
        <f t="shared" si="202"/>
      </c>
    </row>
    <row r="348" ht="15">
      <c r="AO348" s="24">
        <f t="shared" si="202"/>
      </c>
    </row>
    <row r="349" ht="15">
      <c r="AO349" s="24">
        <f t="shared" si="202"/>
      </c>
    </row>
    <row r="350" ht="15">
      <c r="AO350" s="24">
        <f t="shared" si="202"/>
      </c>
    </row>
    <row r="351" ht="15">
      <c r="AO351" s="24">
        <f t="shared" si="202"/>
      </c>
    </row>
    <row r="352" ht="15">
      <c r="AO352" s="24">
        <f t="shared" si="202"/>
      </c>
    </row>
    <row r="353" ht="15">
      <c r="AO353" s="24">
        <f t="shared" si="202"/>
      </c>
    </row>
    <row r="354" ht="15">
      <c r="AO354" s="24">
        <f t="shared" si="202"/>
      </c>
    </row>
    <row r="355" ht="15">
      <c r="AO355" s="24">
        <f t="shared" si="202"/>
      </c>
    </row>
    <row r="356" ht="15">
      <c r="AO356" s="24">
        <f t="shared" si="202"/>
      </c>
    </row>
    <row r="357" ht="15">
      <c r="AO357" s="24">
        <f t="shared" si="202"/>
      </c>
    </row>
    <row r="358" ht="15">
      <c r="AO358" s="24">
        <f t="shared" si="202"/>
      </c>
    </row>
    <row r="359" ht="15">
      <c r="AO359" s="24">
        <f t="shared" si="202"/>
      </c>
    </row>
    <row r="360" ht="15">
      <c r="AO360" s="24">
        <f t="shared" si="202"/>
      </c>
    </row>
    <row r="361" ht="15">
      <c r="AO361" s="24">
        <f t="shared" si="202"/>
      </c>
    </row>
    <row r="362" ht="15">
      <c r="AO362" s="24">
        <f aca="true" t="shared" si="203" ref="AO362:AO423">IF(AND(ISERROR(VLOOKUP(D452,Fériés,1,0)),WEEKDAY(D452,2)&lt;=6),"",IF(WEEKDAY(D452,2)&gt;6,"D",IF(VLOOKUP(D452,Fériés,1,0),"F","")))</f>
      </c>
    </row>
    <row r="363" ht="15">
      <c r="AO363" s="24">
        <f t="shared" si="203"/>
      </c>
    </row>
    <row r="364" ht="15">
      <c r="AO364" s="24">
        <f t="shared" si="203"/>
      </c>
    </row>
    <row r="365" ht="15">
      <c r="AO365" s="24">
        <f t="shared" si="203"/>
      </c>
    </row>
    <row r="366" ht="15">
      <c r="AO366" s="24">
        <f t="shared" si="203"/>
      </c>
    </row>
    <row r="367" ht="15">
      <c r="AO367" s="24">
        <f t="shared" si="203"/>
      </c>
    </row>
    <row r="368" ht="15">
      <c r="AO368" s="24">
        <f t="shared" si="203"/>
      </c>
    </row>
    <row r="369" ht="15">
      <c r="AO369" s="24">
        <f t="shared" si="203"/>
      </c>
    </row>
    <row r="370" ht="15">
      <c r="AO370" s="24">
        <f t="shared" si="203"/>
      </c>
    </row>
    <row r="371" ht="15">
      <c r="AO371" s="24">
        <f t="shared" si="203"/>
      </c>
    </row>
    <row r="372" ht="15">
      <c r="AO372" s="24">
        <f t="shared" si="203"/>
      </c>
    </row>
    <row r="373" ht="15">
      <c r="AO373" s="24">
        <f t="shared" si="203"/>
      </c>
    </row>
    <row r="374" ht="15">
      <c r="AO374" s="24">
        <f t="shared" si="203"/>
      </c>
    </row>
    <row r="375" ht="15">
      <c r="AO375" s="24">
        <f t="shared" si="203"/>
      </c>
    </row>
    <row r="376" ht="15">
      <c r="AO376" s="24">
        <f t="shared" si="203"/>
      </c>
    </row>
    <row r="377" ht="15">
      <c r="AO377" s="24">
        <f t="shared" si="203"/>
      </c>
    </row>
    <row r="378" ht="15">
      <c r="AO378" s="24">
        <f t="shared" si="203"/>
      </c>
    </row>
    <row r="379" ht="15">
      <c r="AO379" s="24">
        <f t="shared" si="203"/>
      </c>
    </row>
    <row r="380" ht="15">
      <c r="AO380" s="24">
        <f t="shared" si="203"/>
      </c>
    </row>
    <row r="381" ht="15">
      <c r="AO381" s="24">
        <f t="shared" si="203"/>
      </c>
    </row>
    <row r="382" ht="15">
      <c r="AO382" s="24">
        <f t="shared" si="203"/>
      </c>
    </row>
    <row r="383" ht="15">
      <c r="AO383" s="24">
        <f t="shared" si="203"/>
      </c>
    </row>
    <row r="384" ht="15">
      <c r="AO384" s="24">
        <f t="shared" si="203"/>
      </c>
    </row>
    <row r="385" ht="15">
      <c r="AO385" s="24">
        <f t="shared" si="203"/>
      </c>
    </row>
    <row r="386" ht="15">
      <c r="AO386" s="24">
        <f t="shared" si="203"/>
      </c>
    </row>
    <row r="387" ht="15">
      <c r="AO387" s="24">
        <f t="shared" si="203"/>
      </c>
    </row>
    <row r="388" ht="15">
      <c r="AO388" s="24">
        <f t="shared" si="203"/>
      </c>
    </row>
    <row r="389" ht="15">
      <c r="AO389" s="24">
        <f t="shared" si="203"/>
      </c>
    </row>
    <row r="390" ht="15">
      <c r="AO390" s="24">
        <f t="shared" si="203"/>
      </c>
    </row>
    <row r="391" ht="15">
      <c r="AO391" s="24">
        <f t="shared" si="203"/>
      </c>
    </row>
    <row r="392" ht="15">
      <c r="AO392" s="24">
        <f t="shared" si="203"/>
      </c>
    </row>
    <row r="393" ht="15">
      <c r="AO393" s="24">
        <f t="shared" si="203"/>
      </c>
    </row>
    <row r="394" ht="15">
      <c r="AO394" s="24">
        <f t="shared" si="203"/>
      </c>
    </row>
    <row r="395" ht="15">
      <c r="AO395" s="24">
        <f t="shared" si="203"/>
      </c>
    </row>
    <row r="396" ht="15">
      <c r="AO396" s="24">
        <f t="shared" si="203"/>
      </c>
    </row>
    <row r="397" ht="15">
      <c r="AO397" s="24">
        <f t="shared" si="203"/>
      </c>
    </row>
    <row r="398" ht="15">
      <c r="AO398" s="24">
        <f t="shared" si="203"/>
      </c>
    </row>
    <row r="399" ht="15">
      <c r="AO399" s="24">
        <f t="shared" si="203"/>
      </c>
    </row>
    <row r="400" ht="15">
      <c r="AO400" s="24">
        <f t="shared" si="203"/>
      </c>
    </row>
    <row r="401" ht="15">
      <c r="AO401" s="24">
        <f t="shared" si="203"/>
      </c>
    </row>
    <row r="402" ht="15">
      <c r="AO402" s="24">
        <f t="shared" si="203"/>
      </c>
    </row>
    <row r="403" ht="15">
      <c r="AO403" s="24">
        <f t="shared" si="203"/>
      </c>
    </row>
    <row r="404" ht="15">
      <c r="AO404" s="24">
        <f t="shared" si="203"/>
      </c>
    </row>
    <row r="405" ht="15">
      <c r="AO405" s="24">
        <f t="shared" si="203"/>
      </c>
    </row>
    <row r="406" ht="15">
      <c r="AO406" s="24">
        <f t="shared" si="203"/>
      </c>
    </row>
    <row r="407" ht="15">
      <c r="AO407" s="24">
        <f t="shared" si="203"/>
      </c>
    </row>
    <row r="408" ht="15">
      <c r="AO408" s="24">
        <f t="shared" si="203"/>
      </c>
    </row>
    <row r="409" ht="15">
      <c r="AO409" s="24">
        <f t="shared" si="203"/>
      </c>
    </row>
    <row r="410" ht="15">
      <c r="AO410" s="24">
        <f t="shared" si="203"/>
      </c>
    </row>
    <row r="411" ht="15">
      <c r="AO411" s="24">
        <f t="shared" si="203"/>
      </c>
    </row>
    <row r="412" ht="15">
      <c r="AO412" s="24">
        <f t="shared" si="203"/>
      </c>
    </row>
    <row r="413" ht="15">
      <c r="AO413" s="24">
        <f t="shared" si="203"/>
      </c>
    </row>
    <row r="414" ht="15">
      <c r="AO414" s="24">
        <f t="shared" si="203"/>
      </c>
    </row>
    <row r="415" ht="15">
      <c r="AO415" s="24">
        <f t="shared" si="203"/>
      </c>
    </row>
    <row r="416" ht="15">
      <c r="AO416" s="24">
        <f t="shared" si="203"/>
      </c>
    </row>
    <row r="417" ht="15">
      <c r="AO417" s="24">
        <f t="shared" si="203"/>
      </c>
    </row>
    <row r="418" ht="15">
      <c r="AO418" s="24">
        <f t="shared" si="203"/>
      </c>
    </row>
    <row r="419" ht="15">
      <c r="AO419" s="24">
        <f t="shared" si="203"/>
      </c>
    </row>
    <row r="420" ht="15">
      <c r="AO420" s="24">
        <f t="shared" si="203"/>
      </c>
    </row>
    <row r="421" ht="15">
      <c r="AO421" s="24">
        <f t="shared" si="203"/>
      </c>
    </row>
    <row r="422" ht="15">
      <c r="AO422" s="24">
        <f t="shared" si="203"/>
      </c>
    </row>
    <row r="423" ht="15">
      <c r="AO423" s="24">
        <f t="shared" si="203"/>
      </c>
    </row>
  </sheetData>
  <sheetProtection/>
  <mergeCells count="123">
    <mergeCell ref="D20:M21"/>
    <mergeCell ref="D43:M44"/>
    <mergeCell ref="D66:M67"/>
    <mergeCell ref="D89:M90"/>
    <mergeCell ref="D112:M113"/>
    <mergeCell ref="D135:M136"/>
    <mergeCell ref="B114:B115"/>
    <mergeCell ref="C112:C119"/>
    <mergeCell ref="C120:C133"/>
    <mergeCell ref="A112:A133"/>
    <mergeCell ref="H133:I133"/>
    <mergeCell ref="S112:S113"/>
    <mergeCell ref="N112:Q113"/>
    <mergeCell ref="O133:P133"/>
    <mergeCell ref="R112:R113"/>
    <mergeCell ref="H110:I110"/>
    <mergeCell ref="A89:A110"/>
    <mergeCell ref="C97:C110"/>
    <mergeCell ref="R89:R90"/>
    <mergeCell ref="O110:P110"/>
    <mergeCell ref="N89:Q90"/>
    <mergeCell ref="S43:S44"/>
    <mergeCell ref="A66:A87"/>
    <mergeCell ref="B91:B92"/>
    <mergeCell ref="C89:C96"/>
    <mergeCell ref="S89:S90"/>
    <mergeCell ref="R66:R67"/>
    <mergeCell ref="S66:S67"/>
    <mergeCell ref="O64:P64"/>
    <mergeCell ref="O87:P87"/>
    <mergeCell ref="B68:B69"/>
    <mergeCell ref="C74:C87"/>
    <mergeCell ref="H87:I87"/>
    <mergeCell ref="H64:I64"/>
    <mergeCell ref="N43:Q44"/>
    <mergeCell ref="N66:Q67"/>
    <mergeCell ref="R43:R44"/>
    <mergeCell ref="X1:Y1"/>
    <mergeCell ref="Z1:AA1"/>
    <mergeCell ref="A20:A41"/>
    <mergeCell ref="C28:C41"/>
    <mergeCell ref="A1:A2"/>
    <mergeCell ref="B5:B7"/>
    <mergeCell ref="O18:P18"/>
    <mergeCell ref="A3:A18"/>
    <mergeCell ref="H41:I41"/>
    <mergeCell ref="N20:Q21"/>
    <mergeCell ref="AB1:AC1"/>
    <mergeCell ref="AJ2:AK2"/>
    <mergeCell ref="B22:B23"/>
    <mergeCell ref="C43:C50"/>
    <mergeCell ref="B45:B46"/>
    <mergeCell ref="Q1:S1"/>
    <mergeCell ref="C3:C18"/>
    <mergeCell ref="C20:C27"/>
    <mergeCell ref="N1:P1"/>
    <mergeCell ref="V1:W1"/>
    <mergeCell ref="A135:A156"/>
    <mergeCell ref="C135:C142"/>
    <mergeCell ref="N135:Q136"/>
    <mergeCell ref="R135:R136"/>
    <mergeCell ref="R20:R21"/>
    <mergeCell ref="S20:S21"/>
    <mergeCell ref="A43:A64"/>
    <mergeCell ref="C51:C64"/>
    <mergeCell ref="O41:P41"/>
    <mergeCell ref="C66:C73"/>
    <mergeCell ref="S135:S136"/>
    <mergeCell ref="B137:B138"/>
    <mergeCell ref="H142:I142"/>
    <mergeCell ref="C143:C156"/>
    <mergeCell ref="H156:I156"/>
    <mergeCell ref="O156:P156"/>
    <mergeCell ref="A181:A202"/>
    <mergeCell ref="C181:C188"/>
    <mergeCell ref="N181:Q182"/>
    <mergeCell ref="R181:R182"/>
    <mergeCell ref="A158:A179"/>
    <mergeCell ref="C158:C165"/>
    <mergeCell ref="N158:Q159"/>
    <mergeCell ref="R158:R159"/>
    <mergeCell ref="D158:M159"/>
    <mergeCell ref="D181:M182"/>
    <mergeCell ref="S181:S182"/>
    <mergeCell ref="B183:B184"/>
    <mergeCell ref="C189:C202"/>
    <mergeCell ref="H202:I202"/>
    <mergeCell ref="O202:P202"/>
    <mergeCell ref="S158:S159"/>
    <mergeCell ref="B160:B161"/>
    <mergeCell ref="C166:C179"/>
    <mergeCell ref="H179:I179"/>
    <mergeCell ref="O179:P179"/>
    <mergeCell ref="A204:A225"/>
    <mergeCell ref="C204:C211"/>
    <mergeCell ref="N204:Q205"/>
    <mergeCell ref="R204:R205"/>
    <mergeCell ref="S204:S205"/>
    <mergeCell ref="B206:B207"/>
    <mergeCell ref="C212:C225"/>
    <mergeCell ref="H225:I225"/>
    <mergeCell ref="O225:P225"/>
    <mergeCell ref="D204:M205"/>
    <mergeCell ref="A227:A248"/>
    <mergeCell ref="C227:C234"/>
    <mergeCell ref="N227:Q228"/>
    <mergeCell ref="R227:R228"/>
    <mergeCell ref="S227:S228"/>
    <mergeCell ref="B229:B230"/>
    <mergeCell ref="C235:C248"/>
    <mergeCell ref="H248:I248"/>
    <mergeCell ref="O248:P248"/>
    <mergeCell ref="D227:M228"/>
    <mergeCell ref="S250:S251"/>
    <mergeCell ref="B252:B253"/>
    <mergeCell ref="C258:C271"/>
    <mergeCell ref="H271:I271"/>
    <mergeCell ref="O271:P271"/>
    <mergeCell ref="A250:A271"/>
    <mergeCell ref="C250:C257"/>
    <mergeCell ref="N250:Q251"/>
    <mergeCell ref="R250:R251"/>
    <mergeCell ref="D250:M251"/>
  </mergeCells>
  <conditionalFormatting sqref="D3:S17 D28:S40 D51:S63 D74:S86 D97:S109 D120:S132 D143:S155 D166:S178 D189:S201 D212:S224 D235:S247 D258:S270">
    <cfRule type="expression" priority="37" dxfId="2">
      <formula>$N3="O"</formula>
    </cfRule>
  </conditionalFormatting>
  <conditionalFormatting sqref="D3:S270">
    <cfRule type="expression" priority="29" dxfId="10">
      <formula>AND($N3="O",$Q3="O")</formula>
    </cfRule>
    <cfRule type="expression" priority="36" dxfId="0">
      <formula>$N3="N"</formula>
    </cfRule>
  </conditionalFormatting>
  <dataValidations count="2">
    <dataValidation allowBlank="1" showInputMessage="1" showErrorMessage="1" promptTitle="FORMAT" prompt="Entrez la date au format suivant : 01/01/17" sqref="D273:D65536 D1:D18 D27:D41 D45:D64 D160:D179 D142:D156"/>
    <dataValidation type="decimal" allowBlank="1" showInputMessage="1" showErrorMessage="1" error="entrez le format horaire suivant :08:00" sqref="E273:F65536 E1:F18 E51:F64 E27:F41 E142:F156 E166:F179">
      <formula1>0</formula1>
      <formula2>25</formula2>
    </dataValidation>
  </dataValidations>
  <printOptions/>
  <pageMargins left="0.7" right="0.7" top="0.75" bottom="0.75" header="0.3" footer="0.3"/>
  <pageSetup horizontalDpi="600" verticalDpi="600" orientation="portrait" paperSize="9" r:id="rId2"/>
  <rowBreaks count="1" manualBreakCount="1">
    <brk id="43" max="255" man="1"/>
  </rowBreaks>
  <ignoredErrors>
    <ignoredError sqref="L28 L29:L40 L3:L16 L51:L63 L120:L1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Y42"/>
  <sheetViews>
    <sheetView zoomScale="80" zoomScaleNormal="80" zoomScalePageLayoutView="0" workbookViewId="0" topLeftCell="A1">
      <pane xSplit="1" topLeftCell="B1" activePane="topRight" state="frozen"/>
      <selection pane="topLeft" activeCell="A31" sqref="A31:IV31"/>
      <selection pane="topRight" activeCell="W8" sqref="W8"/>
    </sheetView>
  </sheetViews>
  <sheetFormatPr defaultColWidth="11.57421875" defaultRowHeight="49.5" customHeight="1"/>
  <cols>
    <col min="1" max="1" width="26.8515625" style="95" bestFit="1" customWidth="1"/>
    <col min="2" max="2" width="11.00390625" style="36" bestFit="1" customWidth="1"/>
    <col min="3" max="3" width="30.28125" style="37" customWidth="1"/>
    <col min="4" max="4" width="43.421875" style="38" customWidth="1"/>
    <col min="5" max="5" width="28.7109375" style="39" customWidth="1"/>
    <col min="6" max="6" width="31.28125" style="40" customWidth="1"/>
    <col min="7" max="7" width="33.7109375" style="41" customWidth="1"/>
    <col min="8" max="8" width="24.28125" style="42" customWidth="1"/>
    <col min="9" max="9" width="23.57421875" style="36" customWidth="1"/>
    <col min="10" max="10" width="18.7109375" style="43" customWidth="1"/>
    <col min="11" max="13" width="11.57421875" style="43" customWidth="1"/>
    <col min="14" max="14" width="11.57421875" style="44" customWidth="1"/>
    <col min="15" max="16" width="11.57421875" style="43" customWidth="1"/>
    <col min="17" max="17" width="11.57421875" style="44" customWidth="1"/>
    <col min="18" max="19" width="11.57421875" style="43" customWidth="1"/>
    <col min="20" max="20" width="11.57421875" style="44" customWidth="1"/>
    <col min="21" max="22" width="11.57421875" style="43" customWidth="1"/>
    <col min="23" max="23" width="11.57421875" style="44" customWidth="1"/>
    <col min="24" max="26" width="11.57421875" style="43" customWidth="1"/>
    <col min="27" max="33" width="18.7109375" style="43" customWidth="1"/>
    <col min="34" max="34" width="18.7109375" style="40" customWidth="1"/>
    <col min="35" max="35" width="23.140625" style="45" customWidth="1"/>
    <col min="36" max="36" width="11.8515625" style="40" bestFit="1" customWidth="1"/>
    <col min="37" max="37" width="18.28125" style="40" bestFit="1" customWidth="1"/>
    <col min="38" max="38" width="10.421875" style="43" customWidth="1"/>
    <col min="39" max="39" width="5.7109375" style="43" customWidth="1"/>
    <col min="40" max="46" width="18.7109375" style="43" customWidth="1"/>
    <col min="47" max="48" width="11.57421875" style="43" customWidth="1"/>
    <col min="49" max="49" width="23.8515625" style="43" customWidth="1"/>
    <col min="50" max="50" width="11.57421875" style="43" customWidth="1"/>
    <col min="51" max="51" width="11.421875" style="0" customWidth="1"/>
    <col min="52" max="16384" width="11.57421875" style="43" customWidth="1"/>
  </cols>
  <sheetData>
    <row r="1" spans="1:51" ht="49.5" customHeight="1">
      <c r="A1" s="35">
        <f ca="1">TODAY()</f>
        <v>43071</v>
      </c>
      <c r="AY1" s="43"/>
    </row>
    <row r="2" spans="1:51" ht="15">
      <c r="A2" s="46" t="s">
        <v>33</v>
      </c>
      <c r="B2" s="46" t="s">
        <v>34</v>
      </c>
      <c r="C2" s="46" t="s">
        <v>35</v>
      </c>
      <c r="D2" s="46" t="s">
        <v>36</v>
      </c>
      <c r="E2" s="46" t="s">
        <v>37</v>
      </c>
      <c r="F2" s="46" t="s">
        <v>38</v>
      </c>
      <c r="G2" s="46" t="s">
        <v>39</v>
      </c>
      <c r="H2" s="46" t="s">
        <v>40</v>
      </c>
      <c r="I2" s="46" t="s">
        <v>41</v>
      </c>
      <c r="J2" s="46" t="s">
        <v>42</v>
      </c>
      <c r="K2" s="46" t="s">
        <v>43</v>
      </c>
      <c r="L2" s="46" t="s">
        <v>44</v>
      </c>
      <c r="M2" s="46" t="s">
        <v>45</v>
      </c>
      <c r="N2" s="46" t="s">
        <v>46</v>
      </c>
      <c r="O2" s="46" t="s">
        <v>47</v>
      </c>
      <c r="P2" s="46" t="s">
        <v>48</v>
      </c>
      <c r="Q2" s="46" t="s">
        <v>49</v>
      </c>
      <c r="R2" s="46" t="s">
        <v>50</v>
      </c>
      <c r="S2" s="46" t="s">
        <v>51</v>
      </c>
      <c r="T2" s="46" t="s">
        <v>52</v>
      </c>
      <c r="U2" s="46" t="s">
        <v>53</v>
      </c>
      <c r="V2" s="46" t="s">
        <v>54</v>
      </c>
      <c r="W2" s="46" t="s">
        <v>55</v>
      </c>
      <c r="X2" s="46" t="s">
        <v>56</v>
      </c>
      <c r="Y2" s="46" t="s">
        <v>57</v>
      </c>
      <c r="Z2" s="46" t="s">
        <v>58</v>
      </c>
      <c r="AA2" s="46" t="s">
        <v>59</v>
      </c>
      <c r="AB2" s="46" t="s">
        <v>60</v>
      </c>
      <c r="AC2" s="46" t="s">
        <v>61</v>
      </c>
      <c r="AD2" s="46" t="s">
        <v>62</v>
      </c>
      <c r="AE2" s="46" t="s">
        <v>63</v>
      </c>
      <c r="AF2" s="46" t="s">
        <v>64</v>
      </c>
      <c r="AG2" s="46" t="s">
        <v>65</v>
      </c>
      <c r="AH2" s="46" t="s">
        <v>66</v>
      </c>
      <c r="AI2" s="46" t="s">
        <v>67</v>
      </c>
      <c r="AJ2" s="46" t="s">
        <v>68</v>
      </c>
      <c r="AK2" s="46" t="s">
        <v>69</v>
      </c>
      <c r="AL2" s="46" t="s">
        <v>70</v>
      </c>
      <c r="AM2" s="46" t="s">
        <v>71</v>
      </c>
      <c r="AN2" s="46" t="s">
        <v>72</v>
      </c>
      <c r="AO2" s="46" t="s">
        <v>73</v>
      </c>
      <c r="AP2" s="46" t="s">
        <v>74</v>
      </c>
      <c r="AQ2" s="46" t="s">
        <v>75</v>
      </c>
      <c r="AR2" s="46" t="s">
        <v>76</v>
      </c>
      <c r="AS2" s="46" t="s">
        <v>77</v>
      </c>
      <c r="AT2" s="46" t="s">
        <v>78</v>
      </c>
      <c r="AU2" s="46" t="s">
        <v>79</v>
      </c>
      <c r="AY2" s="43"/>
    </row>
    <row r="3" spans="1:47" s="49" customFormat="1" ht="49.5" customHeight="1">
      <c r="A3" s="373" t="s">
        <v>80</v>
      </c>
      <c r="B3" s="374"/>
      <c r="C3" s="374"/>
      <c r="D3" s="374"/>
      <c r="E3" s="374"/>
      <c r="F3" s="374"/>
      <c r="G3" s="374"/>
      <c r="H3" s="375"/>
      <c r="I3" s="376" t="s">
        <v>81</v>
      </c>
      <c r="J3" s="376" t="s">
        <v>82</v>
      </c>
      <c r="K3" s="378" t="s">
        <v>83</v>
      </c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80"/>
      <c r="Y3" s="381" t="s">
        <v>84</v>
      </c>
      <c r="Z3" s="381" t="s">
        <v>85</v>
      </c>
      <c r="AA3" s="47" t="s">
        <v>86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s="61" customFormat="1" ht="73.5" customHeight="1">
      <c r="A4" s="50" t="s">
        <v>87</v>
      </c>
      <c r="B4" s="51" t="s">
        <v>88</v>
      </c>
      <c r="C4" s="52" t="s">
        <v>89</v>
      </c>
      <c r="D4" s="53" t="s">
        <v>90</v>
      </c>
      <c r="E4" s="54" t="s">
        <v>91</v>
      </c>
      <c r="F4" s="52" t="s">
        <v>92</v>
      </c>
      <c r="G4" s="52" t="s">
        <v>93</v>
      </c>
      <c r="H4" s="52" t="s">
        <v>94</v>
      </c>
      <c r="I4" s="377"/>
      <c r="J4" s="377"/>
      <c r="K4" s="55"/>
      <c r="L4" s="55" t="s">
        <v>95</v>
      </c>
      <c r="M4" s="55" t="s">
        <v>96</v>
      </c>
      <c r="N4" s="56" t="s">
        <v>97</v>
      </c>
      <c r="O4" s="55" t="s">
        <v>98</v>
      </c>
      <c r="P4" s="55" t="s">
        <v>96</v>
      </c>
      <c r="Q4" s="56" t="s">
        <v>97</v>
      </c>
      <c r="R4" s="55" t="s">
        <v>98</v>
      </c>
      <c r="S4" s="55" t="s">
        <v>96</v>
      </c>
      <c r="T4" s="56" t="s">
        <v>97</v>
      </c>
      <c r="U4" s="55" t="s">
        <v>98</v>
      </c>
      <c r="V4" s="55" t="s">
        <v>96</v>
      </c>
      <c r="W4" s="56" t="s">
        <v>97</v>
      </c>
      <c r="X4" s="55" t="s">
        <v>98</v>
      </c>
      <c r="Y4" s="382"/>
      <c r="Z4" s="382"/>
      <c r="AA4" s="57" t="s">
        <v>99</v>
      </c>
      <c r="AB4" s="58" t="s">
        <v>100</v>
      </c>
      <c r="AC4" s="58" t="s">
        <v>101</v>
      </c>
      <c r="AD4" s="58" t="s">
        <v>102</v>
      </c>
      <c r="AE4" s="58" t="s">
        <v>103</v>
      </c>
      <c r="AF4" s="58" t="s">
        <v>104</v>
      </c>
      <c r="AG4" s="58" t="s">
        <v>105</v>
      </c>
      <c r="AH4" s="58"/>
      <c r="AI4" s="58"/>
      <c r="AJ4" s="58" t="s">
        <v>106</v>
      </c>
      <c r="AK4" s="59" t="s">
        <v>107</v>
      </c>
      <c r="AL4" s="58"/>
      <c r="AM4" s="60" t="s">
        <v>108</v>
      </c>
      <c r="AN4" s="58" t="s">
        <v>109</v>
      </c>
      <c r="AO4" s="58" t="s">
        <v>110</v>
      </c>
      <c r="AP4" s="58" t="s">
        <v>111</v>
      </c>
      <c r="AQ4" s="58" t="s">
        <v>112</v>
      </c>
      <c r="AR4" s="58" t="s">
        <v>113</v>
      </c>
      <c r="AS4" s="58" t="s">
        <v>114</v>
      </c>
      <c r="AT4" s="58" t="s">
        <v>115</v>
      </c>
      <c r="AU4" s="58" t="s">
        <v>116</v>
      </c>
    </row>
    <row r="5" spans="1:51" ht="49.5" customHeight="1">
      <c r="A5" s="62" t="s">
        <v>140</v>
      </c>
      <c r="B5" s="63">
        <v>1010101</v>
      </c>
      <c r="C5" s="64">
        <v>24431</v>
      </c>
      <c r="D5" s="62">
        <f ca="1">INT((TODAY()-C5)/365)</f>
        <v>51</v>
      </c>
      <c r="E5" s="62" t="s">
        <v>117</v>
      </c>
      <c r="F5" s="62" t="s">
        <v>118</v>
      </c>
      <c r="G5" s="62">
        <v>75020</v>
      </c>
      <c r="H5" s="62" t="s">
        <v>119</v>
      </c>
      <c r="I5" s="62" t="s">
        <v>120</v>
      </c>
      <c r="J5" s="62" t="s">
        <v>121</v>
      </c>
      <c r="K5" s="62" t="s">
        <v>15</v>
      </c>
      <c r="L5" s="62"/>
      <c r="M5" s="62"/>
      <c r="N5" s="62"/>
      <c r="O5" s="62"/>
      <c r="P5" s="62"/>
      <c r="Q5" s="65"/>
      <c r="R5" s="65"/>
      <c r="S5" s="65"/>
      <c r="T5" s="65"/>
      <c r="U5" s="65"/>
      <c r="V5" s="65"/>
      <c r="W5" s="65"/>
      <c r="X5" s="65"/>
      <c r="Y5" s="62" t="s">
        <v>122</v>
      </c>
      <c r="Z5" s="62">
        <v>0.75</v>
      </c>
      <c r="AA5" s="62" t="s">
        <v>123</v>
      </c>
      <c r="AB5" s="66">
        <v>32650</v>
      </c>
      <c r="AC5" s="67">
        <v>32650</v>
      </c>
      <c r="AD5" s="64">
        <v>41281</v>
      </c>
      <c r="AE5" s="64"/>
      <c r="AF5" s="62" t="s">
        <v>124</v>
      </c>
      <c r="AG5" s="62" t="s">
        <v>125</v>
      </c>
      <c r="AH5" s="68" t="s">
        <v>126</v>
      </c>
      <c r="AI5" s="69" t="str">
        <f>VLOOKUP($AH5,'[1]OUTILS'!A$20:B$29,2,FALSE)</f>
        <v>ADJ ADMINISTR. P.1ère</v>
      </c>
      <c r="AJ5" s="70">
        <v>6</v>
      </c>
      <c r="AK5" s="71">
        <v>43132</v>
      </c>
      <c r="AL5" s="70" t="b">
        <f>IF($A$1&gt;=$AK5,AJ5+1)</f>
        <v>0</v>
      </c>
      <c r="AM5" s="72">
        <v>457</v>
      </c>
      <c r="AN5" s="73">
        <v>1</v>
      </c>
      <c r="AO5" s="62" t="s">
        <v>127</v>
      </c>
      <c r="AP5" s="62" t="s">
        <v>128</v>
      </c>
      <c r="AQ5" s="62" t="s">
        <v>125</v>
      </c>
      <c r="AR5" s="62" t="s">
        <v>125</v>
      </c>
      <c r="AS5" s="62" t="s">
        <v>129</v>
      </c>
      <c r="AT5" s="74" t="s">
        <v>130</v>
      </c>
      <c r="AU5" s="75">
        <v>110</v>
      </c>
      <c r="AY5" s="43"/>
    </row>
    <row r="6" spans="1:51" ht="49.5" customHeight="1">
      <c r="A6" s="76"/>
      <c r="B6" s="76"/>
      <c r="C6" s="64"/>
      <c r="D6" s="62"/>
      <c r="E6" s="62"/>
      <c r="F6" s="76"/>
      <c r="G6" s="76"/>
      <c r="H6" s="76"/>
      <c r="I6" s="76"/>
      <c r="J6" s="76"/>
      <c r="K6" s="76"/>
      <c r="L6" s="76"/>
      <c r="M6" s="76"/>
      <c r="N6" s="64"/>
      <c r="O6" s="76"/>
      <c r="P6" s="76"/>
      <c r="Q6" s="77"/>
      <c r="R6" s="78"/>
      <c r="S6" s="78"/>
      <c r="T6" s="77"/>
      <c r="U6" s="78"/>
      <c r="V6" s="78"/>
      <c r="W6" s="77"/>
      <c r="X6" s="78"/>
      <c r="Y6" s="76"/>
      <c r="Z6" s="76"/>
      <c r="AA6" s="76"/>
      <c r="AB6" s="64"/>
      <c r="AC6" s="64"/>
      <c r="AD6" s="64"/>
      <c r="AE6" s="76"/>
      <c r="AF6" s="76"/>
      <c r="AG6" s="76"/>
      <c r="AH6" s="68"/>
      <c r="AI6" s="69"/>
      <c r="AJ6" s="79"/>
      <c r="AK6" s="79"/>
      <c r="AL6" s="70"/>
      <c r="AM6" s="76"/>
      <c r="AN6" s="73"/>
      <c r="AO6" s="80"/>
      <c r="AP6" s="76"/>
      <c r="AQ6" s="76"/>
      <c r="AR6" s="76"/>
      <c r="AS6" s="76"/>
      <c r="AT6" s="76"/>
      <c r="AU6" s="76"/>
      <c r="AY6" s="43"/>
    </row>
    <row r="7" spans="1:51" ht="49.5" customHeight="1">
      <c r="A7" s="76"/>
      <c r="B7" s="81"/>
      <c r="C7" s="64"/>
      <c r="D7" s="62"/>
      <c r="E7" s="62"/>
      <c r="F7" s="76"/>
      <c r="G7" s="76"/>
      <c r="H7" s="76"/>
      <c r="I7" s="76"/>
      <c r="J7" s="76"/>
      <c r="K7" s="76"/>
      <c r="L7" s="76"/>
      <c r="M7" s="76"/>
      <c r="N7" s="64"/>
      <c r="O7" s="76"/>
      <c r="P7" s="76"/>
      <c r="Q7" s="77"/>
      <c r="R7" s="78"/>
      <c r="S7" s="78"/>
      <c r="T7" s="77"/>
      <c r="U7" s="78"/>
      <c r="V7" s="78"/>
      <c r="W7" s="77"/>
      <c r="X7" s="78"/>
      <c r="Y7" s="76"/>
      <c r="Z7" s="76"/>
      <c r="AA7" s="76"/>
      <c r="AB7" s="64"/>
      <c r="AC7" s="64"/>
      <c r="AD7" s="64"/>
      <c r="AE7" s="64"/>
      <c r="AF7" s="76"/>
      <c r="AG7" s="76"/>
      <c r="AH7" s="68"/>
      <c r="AI7" s="69"/>
      <c r="AJ7" s="70"/>
      <c r="AK7" s="71"/>
      <c r="AL7" s="70"/>
      <c r="AM7" s="76"/>
      <c r="AN7" s="82"/>
      <c r="AO7" s="80"/>
      <c r="AP7" s="76"/>
      <c r="AQ7" s="76"/>
      <c r="AR7" s="76"/>
      <c r="AS7" s="76"/>
      <c r="AT7" s="83"/>
      <c r="AU7" s="76"/>
      <c r="AY7" s="43"/>
    </row>
    <row r="8" spans="1:51" ht="49.5" customHeight="1">
      <c r="A8" s="76"/>
      <c r="B8" s="76"/>
      <c r="C8" s="64"/>
      <c r="D8" s="62"/>
      <c r="E8" s="62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8"/>
      <c r="R8" s="78"/>
      <c r="S8" s="78"/>
      <c r="T8" s="78"/>
      <c r="U8" s="78"/>
      <c r="V8" s="78"/>
      <c r="W8" s="78"/>
      <c r="X8" s="78"/>
      <c r="Y8" s="76"/>
      <c r="Z8" s="76"/>
      <c r="AA8" s="76"/>
      <c r="AB8" s="64"/>
      <c r="AC8" s="64"/>
      <c r="AD8" s="64"/>
      <c r="AE8" s="76"/>
      <c r="AF8" s="76"/>
      <c r="AG8" s="64"/>
      <c r="AH8" s="64"/>
      <c r="AI8" s="69"/>
      <c r="AJ8" s="76"/>
      <c r="AK8" s="84"/>
      <c r="AL8" s="70"/>
      <c r="AM8" s="76"/>
      <c r="AN8" s="76"/>
      <c r="AO8" s="76"/>
      <c r="AP8" s="76"/>
      <c r="AQ8" s="76"/>
      <c r="AR8" s="76"/>
      <c r="AS8" s="76"/>
      <c r="AT8" s="76"/>
      <c r="AU8" s="76"/>
      <c r="AY8" s="43"/>
    </row>
    <row r="9" spans="1:51" ht="49.5" customHeight="1">
      <c r="A9" s="76"/>
      <c r="B9" s="76"/>
      <c r="C9" s="64"/>
      <c r="D9" s="62"/>
      <c r="E9" s="62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8"/>
      <c r="R9" s="78"/>
      <c r="S9" s="78"/>
      <c r="T9" s="78"/>
      <c r="U9" s="78"/>
      <c r="V9" s="78"/>
      <c r="W9" s="78"/>
      <c r="X9" s="78"/>
      <c r="Y9" s="76"/>
      <c r="Z9" s="76"/>
      <c r="AA9" s="76"/>
      <c r="AB9" s="64"/>
      <c r="AC9" s="64"/>
      <c r="AD9" s="64"/>
      <c r="AE9" s="76"/>
      <c r="AF9" s="76"/>
      <c r="AG9" s="76"/>
      <c r="AH9" s="68"/>
      <c r="AI9" s="69"/>
      <c r="AJ9" s="70"/>
      <c r="AK9" s="71"/>
      <c r="AL9" s="70"/>
      <c r="AM9" s="76"/>
      <c r="AN9" s="80"/>
      <c r="AO9" s="76"/>
      <c r="AP9" s="76"/>
      <c r="AQ9" s="76"/>
      <c r="AR9" s="76"/>
      <c r="AS9" s="76"/>
      <c r="AT9" s="76"/>
      <c r="AU9" s="76"/>
      <c r="AY9" s="43"/>
    </row>
    <row r="10" spans="1:51" ht="49.5" customHeight="1">
      <c r="A10" s="76"/>
      <c r="B10" s="81"/>
      <c r="C10" s="64"/>
      <c r="D10" s="62"/>
      <c r="E10" s="62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6"/>
      <c r="Z10" s="76"/>
      <c r="AA10" s="76"/>
      <c r="AB10" s="64"/>
      <c r="AC10" s="64"/>
      <c r="AD10" s="64"/>
      <c r="AE10" s="64"/>
      <c r="AF10" s="76"/>
      <c r="AG10" s="76"/>
      <c r="AH10" s="68"/>
      <c r="AI10" s="69"/>
      <c r="AJ10" s="70"/>
      <c r="AK10" s="71"/>
      <c r="AL10" s="70"/>
      <c r="AM10" s="76"/>
      <c r="AN10" s="80"/>
      <c r="AO10" s="76"/>
      <c r="AP10" s="76"/>
      <c r="AQ10" s="76"/>
      <c r="AR10" s="76"/>
      <c r="AS10" s="76"/>
      <c r="AT10" s="83"/>
      <c r="AU10" s="76"/>
      <c r="AY10" s="43"/>
    </row>
    <row r="11" spans="1:51" ht="49.5" customHeight="1">
      <c r="A11" s="76"/>
      <c r="B11" s="81"/>
      <c r="C11" s="64"/>
      <c r="D11" s="62"/>
      <c r="E11" s="62"/>
      <c r="F11" s="76"/>
      <c r="G11" s="76"/>
      <c r="H11" s="76"/>
      <c r="I11" s="76"/>
      <c r="J11" s="76"/>
      <c r="K11" s="76"/>
      <c r="L11" s="76"/>
      <c r="M11" s="76"/>
      <c r="N11" s="64"/>
      <c r="O11" s="76"/>
      <c r="P11" s="76"/>
      <c r="Q11" s="77"/>
      <c r="R11" s="78"/>
      <c r="S11" s="78"/>
      <c r="T11" s="77"/>
      <c r="U11" s="78"/>
      <c r="V11" s="78"/>
      <c r="W11" s="77"/>
      <c r="X11" s="78"/>
      <c r="Y11" s="76"/>
      <c r="Z11" s="76"/>
      <c r="AA11" s="76"/>
      <c r="AB11" s="64"/>
      <c r="AC11" s="64"/>
      <c r="AD11" s="64"/>
      <c r="AE11" s="64"/>
      <c r="AF11" s="76"/>
      <c r="AG11" s="76"/>
      <c r="AH11" s="76"/>
      <c r="AI11" s="69"/>
      <c r="AJ11" s="76"/>
      <c r="AK11" s="84"/>
      <c r="AL11" s="70"/>
      <c r="AM11" s="76"/>
      <c r="AN11" s="85"/>
      <c r="AO11" s="83"/>
      <c r="AP11" s="76"/>
      <c r="AQ11" s="76"/>
      <c r="AR11" s="76"/>
      <c r="AS11" s="76"/>
      <c r="AT11" s="83"/>
      <c r="AU11" s="76"/>
      <c r="AY11" s="43"/>
    </row>
    <row r="12" spans="1:51" ht="49.5" customHeight="1">
      <c r="A12" s="76"/>
      <c r="B12" s="81"/>
      <c r="C12" s="64"/>
      <c r="D12" s="62"/>
      <c r="E12" s="62"/>
      <c r="F12" s="76"/>
      <c r="G12" s="76"/>
      <c r="H12" s="76"/>
      <c r="I12" s="76"/>
      <c r="J12" s="76"/>
      <c r="K12" s="76"/>
      <c r="L12" s="76"/>
      <c r="M12" s="76"/>
      <c r="N12" s="64"/>
      <c r="O12" s="76"/>
      <c r="P12" s="76"/>
      <c r="Q12" s="77"/>
      <c r="R12" s="78"/>
      <c r="S12" s="78"/>
      <c r="T12" s="77"/>
      <c r="U12" s="78"/>
      <c r="V12" s="78"/>
      <c r="W12" s="77"/>
      <c r="X12" s="78"/>
      <c r="Y12" s="83"/>
      <c r="Z12" s="83"/>
      <c r="AA12" s="76"/>
      <c r="AB12" s="64"/>
      <c r="AC12" s="64"/>
      <c r="AD12" s="64"/>
      <c r="AE12" s="64"/>
      <c r="AF12" s="76"/>
      <c r="AG12" s="76"/>
      <c r="AH12" s="76"/>
      <c r="AI12" s="69"/>
      <c r="AJ12" s="76"/>
      <c r="AK12" s="84"/>
      <c r="AL12" s="70"/>
      <c r="AM12" s="76"/>
      <c r="AN12" s="73"/>
      <c r="AO12" s="83"/>
      <c r="AP12" s="76"/>
      <c r="AQ12" s="76"/>
      <c r="AR12" s="76"/>
      <c r="AS12" s="76"/>
      <c r="AT12" s="83"/>
      <c r="AU12" s="76"/>
      <c r="AY12" s="43"/>
    </row>
    <row r="13" spans="1:51" ht="49.5" customHeight="1">
      <c r="A13" s="76"/>
      <c r="B13" s="81"/>
      <c r="C13" s="64"/>
      <c r="D13" s="62"/>
      <c r="E13" s="62"/>
      <c r="F13" s="76"/>
      <c r="G13" s="76"/>
      <c r="H13" s="76"/>
      <c r="I13" s="76"/>
      <c r="J13" s="76"/>
      <c r="K13" s="76"/>
      <c r="L13" s="76"/>
      <c r="M13" s="76"/>
      <c r="N13" s="64"/>
      <c r="O13" s="76"/>
      <c r="P13" s="76"/>
      <c r="Q13" s="77"/>
      <c r="R13" s="78"/>
      <c r="S13" s="78"/>
      <c r="T13" s="77"/>
      <c r="U13" s="78"/>
      <c r="V13" s="78"/>
      <c r="W13" s="77"/>
      <c r="X13" s="78"/>
      <c r="Y13" s="76"/>
      <c r="Z13" s="76"/>
      <c r="AA13" s="76"/>
      <c r="AB13" s="64"/>
      <c r="AC13" s="64"/>
      <c r="AD13" s="86"/>
      <c r="AE13" s="86"/>
      <c r="AF13" s="76"/>
      <c r="AG13" s="76"/>
      <c r="AH13" s="68"/>
      <c r="AI13" s="69"/>
      <c r="AJ13" s="70"/>
      <c r="AK13" s="71"/>
      <c r="AL13" s="70"/>
      <c r="AM13" s="76"/>
      <c r="AN13" s="82"/>
      <c r="AO13" s="76"/>
      <c r="AP13" s="76"/>
      <c r="AQ13" s="76"/>
      <c r="AR13" s="76"/>
      <c r="AS13" s="76"/>
      <c r="AT13" s="83"/>
      <c r="AU13" s="76"/>
      <c r="AY13" s="43"/>
    </row>
    <row r="14" spans="1:51" ht="49.5" customHeight="1">
      <c r="A14" s="76"/>
      <c r="B14" s="76"/>
      <c r="C14" s="64"/>
      <c r="D14" s="62"/>
      <c r="E14" s="62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8"/>
      <c r="R14" s="78"/>
      <c r="S14" s="78"/>
      <c r="T14" s="78"/>
      <c r="U14" s="78"/>
      <c r="V14" s="78"/>
      <c r="W14" s="78"/>
      <c r="X14" s="78"/>
      <c r="Y14" s="76"/>
      <c r="Z14" s="76"/>
      <c r="AA14" s="76"/>
      <c r="AB14" s="64"/>
      <c r="AC14" s="64"/>
      <c r="AD14" s="64"/>
      <c r="AE14" s="76"/>
      <c r="AF14" s="76"/>
      <c r="AG14" s="64"/>
      <c r="AH14" s="64"/>
      <c r="AI14" s="69"/>
      <c r="AJ14" s="76"/>
      <c r="AK14" s="84"/>
      <c r="AL14" s="70"/>
      <c r="AM14" s="76"/>
      <c r="AN14" s="76"/>
      <c r="AO14" s="76"/>
      <c r="AP14" s="76"/>
      <c r="AQ14" s="76"/>
      <c r="AR14" s="76"/>
      <c r="AS14" s="76"/>
      <c r="AT14" s="76"/>
      <c r="AU14" s="76"/>
      <c r="AY14" s="43"/>
    </row>
    <row r="15" spans="1:51" ht="49.5" customHeight="1">
      <c r="A15" s="76"/>
      <c r="B15" s="76"/>
      <c r="C15" s="64"/>
      <c r="D15" s="62"/>
      <c r="E15" s="62"/>
      <c r="F15" s="76"/>
      <c r="G15" s="76"/>
      <c r="H15" s="76"/>
      <c r="I15" s="76"/>
      <c r="J15" s="76"/>
      <c r="K15" s="76"/>
      <c r="L15" s="76"/>
      <c r="M15" s="76"/>
      <c r="N15" s="64"/>
      <c r="O15" s="76"/>
      <c r="P15" s="76"/>
      <c r="Q15" s="77"/>
      <c r="R15" s="78"/>
      <c r="S15" s="78"/>
      <c r="T15" s="77"/>
      <c r="U15" s="78"/>
      <c r="V15" s="78"/>
      <c r="W15" s="77"/>
      <c r="X15" s="78"/>
      <c r="Y15" s="76"/>
      <c r="Z15" s="76"/>
      <c r="AA15" s="76"/>
      <c r="AB15" s="64"/>
      <c r="AC15" s="64"/>
      <c r="AD15" s="87"/>
      <c r="AE15" s="86"/>
      <c r="AF15" s="76"/>
      <c r="AG15" s="76"/>
      <c r="AH15" s="68"/>
      <c r="AI15" s="69"/>
      <c r="AJ15" s="70"/>
      <c r="AK15" s="71"/>
      <c r="AL15" s="70"/>
      <c r="AM15" s="76"/>
      <c r="AN15" s="73"/>
      <c r="AO15" s="80"/>
      <c r="AP15" s="76"/>
      <c r="AQ15" s="76"/>
      <c r="AR15" s="76"/>
      <c r="AS15" s="76"/>
      <c r="AT15" s="83"/>
      <c r="AU15" s="76"/>
      <c r="AY15" s="43"/>
    </row>
    <row r="16" spans="1:51" ht="49.5" customHeight="1">
      <c r="A16" s="76"/>
      <c r="B16" s="81"/>
      <c r="C16" s="64"/>
      <c r="D16" s="62"/>
      <c r="E16" s="62"/>
      <c r="F16" s="76"/>
      <c r="G16" s="76"/>
      <c r="H16" s="76"/>
      <c r="I16" s="76"/>
      <c r="J16" s="76"/>
      <c r="K16" s="76"/>
      <c r="L16" s="76"/>
      <c r="M16" s="76"/>
      <c r="N16" s="64"/>
      <c r="O16" s="76"/>
      <c r="P16" s="76"/>
      <c r="Q16" s="77"/>
      <c r="R16" s="78"/>
      <c r="S16" s="78"/>
      <c r="T16" s="77"/>
      <c r="U16" s="78"/>
      <c r="V16" s="78"/>
      <c r="W16" s="77"/>
      <c r="X16" s="78"/>
      <c r="Y16" s="76"/>
      <c r="Z16" s="76"/>
      <c r="AA16" s="76"/>
      <c r="AB16" s="64"/>
      <c r="AC16" s="64"/>
      <c r="AD16" s="86"/>
      <c r="AE16" s="86"/>
      <c r="AF16" s="76"/>
      <c r="AG16" s="76"/>
      <c r="AH16" s="68"/>
      <c r="AI16" s="69"/>
      <c r="AJ16" s="88"/>
      <c r="AK16" s="89"/>
      <c r="AL16" s="70"/>
      <c r="AM16" s="76"/>
      <c r="AN16" s="82"/>
      <c r="AO16" s="76"/>
      <c r="AP16" s="76"/>
      <c r="AQ16" s="76"/>
      <c r="AR16" s="76"/>
      <c r="AS16" s="76"/>
      <c r="AT16" s="83"/>
      <c r="AU16" s="76"/>
      <c r="AY16" s="43"/>
    </row>
    <row r="17" spans="1:51" ht="49.5" customHeight="1">
      <c r="A17" s="76"/>
      <c r="B17" s="76"/>
      <c r="C17" s="64"/>
      <c r="D17" s="62"/>
      <c r="E17" s="62"/>
      <c r="F17" s="76"/>
      <c r="G17" s="76"/>
      <c r="H17" s="76"/>
      <c r="I17" s="76"/>
      <c r="J17" s="76"/>
      <c r="K17" s="76"/>
      <c r="L17" s="76"/>
      <c r="M17" s="76"/>
      <c r="N17" s="64"/>
      <c r="O17" s="76"/>
      <c r="P17" s="76"/>
      <c r="Q17" s="77"/>
      <c r="R17" s="78"/>
      <c r="S17" s="78"/>
      <c r="T17" s="77"/>
      <c r="U17" s="78"/>
      <c r="V17" s="78"/>
      <c r="W17" s="77"/>
      <c r="X17" s="78"/>
      <c r="Y17" s="76"/>
      <c r="Z17" s="76"/>
      <c r="AA17" s="76"/>
      <c r="AB17" s="64"/>
      <c r="AC17" s="64"/>
      <c r="AD17" s="64"/>
      <c r="AE17" s="76"/>
      <c r="AF17" s="76"/>
      <c r="AG17" s="76"/>
      <c r="AH17" s="90"/>
      <c r="AI17" s="69"/>
      <c r="AJ17" s="70"/>
      <c r="AK17" s="71"/>
      <c r="AL17" s="70"/>
      <c r="AM17" s="76"/>
      <c r="AN17" s="80"/>
      <c r="AO17" s="76"/>
      <c r="AP17" s="76"/>
      <c r="AQ17" s="76"/>
      <c r="AR17" s="76"/>
      <c r="AS17" s="76"/>
      <c r="AT17" s="76"/>
      <c r="AU17" s="76"/>
      <c r="AY17" s="43"/>
    </row>
    <row r="18" spans="1:51" ht="49.5" customHeight="1">
      <c r="A18" s="76"/>
      <c r="B18" s="81"/>
      <c r="C18" s="64"/>
      <c r="D18" s="62"/>
      <c r="E18" s="62"/>
      <c r="F18" s="76"/>
      <c r="G18" s="76"/>
      <c r="H18" s="76"/>
      <c r="I18" s="76"/>
      <c r="J18" s="76"/>
      <c r="K18" s="76"/>
      <c r="L18" s="76"/>
      <c r="M18" s="76"/>
      <c r="N18" s="64"/>
      <c r="O18" s="76"/>
      <c r="P18" s="76"/>
      <c r="Q18" s="77"/>
      <c r="R18" s="78"/>
      <c r="S18" s="78"/>
      <c r="T18" s="77"/>
      <c r="U18" s="78"/>
      <c r="V18" s="78"/>
      <c r="W18" s="77"/>
      <c r="X18" s="78"/>
      <c r="Y18" s="76"/>
      <c r="Z18" s="76"/>
      <c r="AA18" s="76"/>
      <c r="AB18" s="64"/>
      <c r="AC18" s="86"/>
      <c r="AD18" s="86"/>
      <c r="AE18" s="86"/>
      <c r="AF18" s="76"/>
      <c r="AG18" s="76"/>
      <c r="AH18" s="68"/>
      <c r="AI18" s="69"/>
      <c r="AJ18" s="70"/>
      <c r="AK18" s="71"/>
      <c r="AL18" s="70"/>
      <c r="AM18" s="76"/>
      <c r="AN18" s="82"/>
      <c r="AO18" s="76"/>
      <c r="AP18" s="76"/>
      <c r="AQ18" s="76"/>
      <c r="AR18" s="76"/>
      <c r="AS18" s="76"/>
      <c r="AT18" s="83"/>
      <c r="AU18" s="76"/>
      <c r="AY18" s="43"/>
    </row>
    <row r="19" spans="1:51" ht="49.5" customHeight="1">
      <c r="A19" s="76"/>
      <c r="B19" s="81"/>
      <c r="C19" s="64"/>
      <c r="D19" s="62"/>
      <c r="E19" s="62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/>
      <c r="R19" s="78"/>
      <c r="S19" s="78"/>
      <c r="T19" s="78"/>
      <c r="U19" s="78"/>
      <c r="V19" s="78"/>
      <c r="W19" s="78"/>
      <c r="X19" s="78"/>
      <c r="Y19" s="76"/>
      <c r="Z19" s="76"/>
      <c r="AA19" s="76"/>
      <c r="AB19" s="64"/>
      <c r="AC19" s="64"/>
      <c r="AD19" s="86"/>
      <c r="AE19" s="86"/>
      <c r="AF19" s="76"/>
      <c r="AG19" s="76"/>
      <c r="AH19" s="68"/>
      <c r="AI19" s="69"/>
      <c r="AJ19" s="88"/>
      <c r="AK19" s="89"/>
      <c r="AL19" s="70"/>
      <c r="AM19" s="76"/>
      <c r="AN19" s="82"/>
      <c r="AO19" s="76"/>
      <c r="AP19" s="76"/>
      <c r="AQ19" s="76"/>
      <c r="AR19" s="76"/>
      <c r="AS19" s="76"/>
      <c r="AT19" s="83"/>
      <c r="AU19" s="76"/>
      <c r="AY19" s="43"/>
    </row>
    <row r="20" spans="1:51" ht="49.5" customHeight="1">
      <c r="A20" s="76"/>
      <c r="B20" s="76"/>
      <c r="C20" s="64"/>
      <c r="D20" s="62"/>
      <c r="E20" s="6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8"/>
      <c r="R20" s="78"/>
      <c r="S20" s="78"/>
      <c r="T20" s="78"/>
      <c r="U20" s="78"/>
      <c r="V20" s="78"/>
      <c r="W20" s="78"/>
      <c r="X20" s="78"/>
      <c r="Y20" s="76"/>
      <c r="Z20" s="76"/>
      <c r="AA20" s="76"/>
      <c r="AB20" s="64"/>
      <c r="AC20" s="64"/>
      <c r="AD20" s="64"/>
      <c r="AE20" s="76"/>
      <c r="AF20" s="76"/>
      <c r="AG20" s="76"/>
      <c r="AH20" s="68"/>
      <c r="AI20" s="69"/>
      <c r="AJ20" s="70"/>
      <c r="AK20" s="71"/>
      <c r="AL20" s="70"/>
      <c r="AM20" s="76"/>
      <c r="AN20" s="80"/>
      <c r="AO20" s="76"/>
      <c r="AP20" s="76"/>
      <c r="AQ20" s="76"/>
      <c r="AR20" s="76"/>
      <c r="AS20" s="76"/>
      <c r="AT20" s="76"/>
      <c r="AU20" s="76"/>
      <c r="AY20" s="43"/>
    </row>
    <row r="21" spans="1:51" ht="49.5" customHeight="1">
      <c r="A21" s="76"/>
      <c r="B21" s="81"/>
      <c r="C21" s="64"/>
      <c r="D21" s="62"/>
      <c r="E21" s="62"/>
      <c r="F21" s="91"/>
      <c r="G21" s="91"/>
      <c r="H21" s="91"/>
      <c r="I21" s="76"/>
      <c r="J21" s="76"/>
      <c r="K21" s="76"/>
      <c r="L21" s="76"/>
      <c r="M21" s="76"/>
      <c r="N21" s="64"/>
      <c r="O21" s="76"/>
      <c r="P21" s="76"/>
      <c r="Q21" s="77"/>
      <c r="R21" s="78"/>
      <c r="S21" s="78"/>
      <c r="T21" s="77"/>
      <c r="U21" s="78"/>
      <c r="V21" s="78"/>
      <c r="W21" s="77"/>
      <c r="X21" s="78"/>
      <c r="Y21" s="76"/>
      <c r="Z21" s="76"/>
      <c r="AA21" s="76"/>
      <c r="AB21" s="64"/>
      <c r="AC21" s="64"/>
      <c r="AD21" s="64"/>
      <c r="AE21" s="64"/>
      <c r="AF21" s="76"/>
      <c r="AG21" s="76"/>
      <c r="AH21" s="68"/>
      <c r="AI21" s="69"/>
      <c r="AJ21" s="70"/>
      <c r="AK21" s="71"/>
      <c r="AL21" s="70"/>
      <c r="AM21" s="76"/>
      <c r="AN21" s="73"/>
      <c r="AO21" s="80"/>
      <c r="AP21" s="83"/>
      <c r="AQ21" s="76"/>
      <c r="AR21" s="76"/>
      <c r="AS21" s="76"/>
      <c r="AT21" s="83"/>
      <c r="AU21" s="76"/>
      <c r="AY21" s="43"/>
    </row>
    <row r="22" spans="1:51" ht="49.5" customHeight="1">
      <c r="A22" s="76"/>
      <c r="B22" s="92"/>
      <c r="C22" s="64"/>
      <c r="D22" s="62"/>
      <c r="E22" s="62"/>
      <c r="F22" s="91"/>
      <c r="G22" s="91"/>
      <c r="H22" s="91"/>
      <c r="I22" s="76"/>
      <c r="J22" s="76"/>
      <c r="K22" s="76"/>
      <c r="L22" s="76"/>
      <c r="M22" s="76"/>
      <c r="N22" s="64"/>
      <c r="O22" s="76"/>
      <c r="P22" s="76"/>
      <c r="Q22" s="77"/>
      <c r="R22" s="78"/>
      <c r="S22" s="78"/>
      <c r="T22" s="77"/>
      <c r="U22" s="78"/>
      <c r="V22" s="78"/>
      <c r="W22" s="77"/>
      <c r="X22" s="78"/>
      <c r="Y22" s="76"/>
      <c r="Z22" s="76"/>
      <c r="AA22" s="76"/>
      <c r="AB22" s="64"/>
      <c r="AC22" s="64"/>
      <c r="AD22" s="64"/>
      <c r="AE22" s="64"/>
      <c r="AF22" s="76"/>
      <c r="AG22" s="76"/>
      <c r="AH22" s="68"/>
      <c r="AI22" s="69"/>
      <c r="AJ22" s="70"/>
      <c r="AK22" s="71"/>
      <c r="AL22" s="70"/>
      <c r="AM22" s="92"/>
      <c r="AN22" s="73"/>
      <c r="AO22" s="80"/>
      <c r="AP22" s="83"/>
      <c r="AQ22" s="76"/>
      <c r="AR22" s="76"/>
      <c r="AS22" s="76"/>
      <c r="AT22" s="83"/>
      <c r="AU22" s="76"/>
      <c r="AY22" s="43"/>
    </row>
    <row r="23" spans="1:51" ht="49.5" customHeight="1">
      <c r="A23" s="76"/>
      <c r="B23" s="81"/>
      <c r="C23" s="64"/>
      <c r="D23" s="62"/>
      <c r="E23" s="62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8"/>
      <c r="R23" s="78"/>
      <c r="S23" s="78"/>
      <c r="T23" s="78"/>
      <c r="U23" s="78"/>
      <c r="V23" s="78"/>
      <c r="W23" s="78"/>
      <c r="X23" s="78"/>
      <c r="Y23" s="76"/>
      <c r="Z23" s="76"/>
      <c r="AA23" s="76"/>
      <c r="AB23" s="64"/>
      <c r="AC23" s="64"/>
      <c r="AD23" s="64"/>
      <c r="AE23" s="64"/>
      <c r="AF23" s="76"/>
      <c r="AG23" s="76"/>
      <c r="AH23" s="68"/>
      <c r="AI23" s="69"/>
      <c r="AJ23" s="70"/>
      <c r="AK23" s="71"/>
      <c r="AL23" s="70"/>
      <c r="AM23" s="76"/>
      <c r="AN23" s="82"/>
      <c r="AO23" s="83"/>
      <c r="AP23" s="76"/>
      <c r="AQ23" s="76"/>
      <c r="AR23" s="76"/>
      <c r="AS23" s="76"/>
      <c r="AT23" s="83"/>
      <c r="AU23" s="76"/>
      <c r="AY23" s="43"/>
    </row>
    <row r="24" spans="1:51" ht="49.5" customHeight="1">
      <c r="A24" s="76"/>
      <c r="B24" s="81"/>
      <c r="C24" s="64"/>
      <c r="D24" s="62"/>
      <c r="E24" s="62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8"/>
      <c r="R24" s="78"/>
      <c r="S24" s="78"/>
      <c r="T24" s="78"/>
      <c r="U24" s="78"/>
      <c r="V24" s="78"/>
      <c r="W24" s="78"/>
      <c r="X24" s="78"/>
      <c r="Y24" s="76"/>
      <c r="Z24" s="76"/>
      <c r="AA24" s="76"/>
      <c r="AB24" s="64"/>
      <c r="AC24" s="64"/>
      <c r="AD24" s="86"/>
      <c r="AE24" s="86"/>
      <c r="AF24" s="76"/>
      <c r="AG24" s="76"/>
      <c r="AH24" s="68"/>
      <c r="AI24" s="69"/>
      <c r="AJ24" s="70"/>
      <c r="AK24" s="71"/>
      <c r="AL24" s="70"/>
      <c r="AM24" s="76"/>
      <c r="AN24" s="73"/>
      <c r="AO24" s="80"/>
      <c r="AP24" s="76"/>
      <c r="AQ24" s="76"/>
      <c r="AR24" s="76"/>
      <c r="AS24" s="76"/>
      <c r="AT24" s="83"/>
      <c r="AU24" s="76"/>
      <c r="AY24" s="43"/>
    </row>
    <row r="25" spans="1:51" ht="49.5" customHeight="1">
      <c r="A25" s="76"/>
      <c r="B25" s="76"/>
      <c r="C25" s="64"/>
      <c r="D25" s="62"/>
      <c r="E25" s="62"/>
      <c r="F25" s="76"/>
      <c r="G25" s="76"/>
      <c r="H25" s="76"/>
      <c r="I25" s="76"/>
      <c r="J25" s="76"/>
      <c r="K25" s="76"/>
      <c r="L25" s="76"/>
      <c r="M25" s="76"/>
      <c r="N25" s="64"/>
      <c r="O25" s="76"/>
      <c r="P25" s="76"/>
      <c r="Q25" s="77"/>
      <c r="R25" s="78"/>
      <c r="S25" s="78"/>
      <c r="T25" s="77"/>
      <c r="U25" s="78"/>
      <c r="V25" s="78"/>
      <c r="W25" s="77"/>
      <c r="X25" s="78"/>
      <c r="Y25" s="76"/>
      <c r="Z25" s="76"/>
      <c r="AA25" s="76"/>
      <c r="AB25" s="64"/>
      <c r="AC25" s="64"/>
      <c r="AD25" s="64"/>
      <c r="AE25" s="76"/>
      <c r="AF25" s="76"/>
      <c r="AG25" s="76"/>
      <c r="AH25" s="68"/>
      <c r="AI25" s="69"/>
      <c r="AJ25" s="70"/>
      <c r="AK25" s="71"/>
      <c r="AL25" s="70"/>
      <c r="AM25" s="76"/>
      <c r="AN25" s="80"/>
      <c r="AO25" s="80"/>
      <c r="AP25" s="76"/>
      <c r="AQ25" s="76"/>
      <c r="AR25" s="76"/>
      <c r="AS25" s="76"/>
      <c r="AT25" s="76"/>
      <c r="AU25" s="76"/>
      <c r="AY25" s="43"/>
    </row>
    <row r="26" spans="1:51" ht="49.5" customHeight="1">
      <c r="A26" s="76"/>
      <c r="B26" s="81"/>
      <c r="C26" s="64"/>
      <c r="D26" s="62"/>
      <c r="E26" s="62"/>
      <c r="F26" s="76"/>
      <c r="G26" s="76"/>
      <c r="H26" s="76"/>
      <c r="I26" s="76"/>
      <c r="J26" s="76"/>
      <c r="K26" s="76"/>
      <c r="L26" s="76"/>
      <c r="M26" s="76"/>
      <c r="N26" s="64"/>
      <c r="O26" s="76"/>
      <c r="P26" s="76"/>
      <c r="Q26" s="77"/>
      <c r="R26" s="78"/>
      <c r="S26" s="78"/>
      <c r="T26" s="77"/>
      <c r="U26" s="78"/>
      <c r="V26" s="78"/>
      <c r="W26" s="77"/>
      <c r="X26" s="78"/>
      <c r="Y26" s="76"/>
      <c r="Z26" s="91"/>
      <c r="AA26" s="76"/>
      <c r="AB26" s="64"/>
      <c r="AC26" s="64"/>
      <c r="AD26" s="64"/>
      <c r="AE26" s="64"/>
      <c r="AF26" s="76"/>
      <c r="AG26" s="76"/>
      <c r="AH26" s="68"/>
      <c r="AI26" s="69"/>
      <c r="AJ26" s="70"/>
      <c r="AK26" s="71"/>
      <c r="AL26" s="70"/>
      <c r="AM26" s="76"/>
      <c r="AN26" s="73"/>
      <c r="AO26" s="80"/>
      <c r="AP26" s="76"/>
      <c r="AQ26" s="76"/>
      <c r="AR26" s="76"/>
      <c r="AS26" s="76"/>
      <c r="AT26" s="83"/>
      <c r="AU26" s="76"/>
      <c r="AY26" s="43"/>
    </row>
    <row r="27" spans="1:51" ht="49.5" customHeight="1">
      <c r="A27" s="76"/>
      <c r="B27" s="81"/>
      <c r="C27" s="64"/>
      <c r="D27" s="62"/>
      <c r="E27" s="62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8"/>
      <c r="R27" s="78"/>
      <c r="S27" s="78"/>
      <c r="T27" s="78"/>
      <c r="U27" s="78"/>
      <c r="V27" s="78"/>
      <c r="W27" s="78"/>
      <c r="X27" s="78"/>
      <c r="Y27" s="76"/>
      <c r="Z27" s="76"/>
      <c r="AA27" s="76"/>
      <c r="AB27" s="64"/>
      <c r="AC27" s="64"/>
      <c r="AD27" s="64"/>
      <c r="AE27" s="64"/>
      <c r="AF27" s="76"/>
      <c r="AG27" s="76"/>
      <c r="AH27" s="68"/>
      <c r="AI27" s="69"/>
      <c r="AJ27" s="70"/>
      <c r="AK27" s="71"/>
      <c r="AL27" s="70"/>
      <c r="AM27" s="76"/>
      <c r="AN27" s="82"/>
      <c r="AO27" s="76"/>
      <c r="AP27" s="76"/>
      <c r="AQ27" s="76"/>
      <c r="AR27" s="76"/>
      <c r="AS27" s="76"/>
      <c r="AT27" s="83"/>
      <c r="AU27" s="76"/>
      <c r="AY27" s="43"/>
    </row>
    <row r="28" spans="1:51" ht="51" customHeight="1">
      <c r="A28" s="76"/>
      <c r="B28" s="81"/>
      <c r="C28" s="64"/>
      <c r="D28" s="62"/>
      <c r="E28" s="62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8"/>
      <c r="R28" s="78"/>
      <c r="S28" s="78"/>
      <c r="T28" s="78"/>
      <c r="U28" s="78"/>
      <c r="V28" s="78"/>
      <c r="W28" s="78"/>
      <c r="X28" s="78"/>
      <c r="Y28" s="76"/>
      <c r="Z28" s="76"/>
      <c r="AA28" s="76"/>
      <c r="AB28" s="64"/>
      <c r="AC28" s="64"/>
      <c r="AD28" s="64"/>
      <c r="AE28" s="64"/>
      <c r="AF28" s="76"/>
      <c r="AG28" s="76"/>
      <c r="AH28" s="68"/>
      <c r="AI28" s="69"/>
      <c r="AJ28" s="70"/>
      <c r="AK28" s="71"/>
      <c r="AL28" s="70"/>
      <c r="AM28" s="76"/>
      <c r="AN28" s="82"/>
      <c r="AO28" s="76"/>
      <c r="AP28" s="76"/>
      <c r="AQ28" s="76"/>
      <c r="AR28" s="76"/>
      <c r="AS28" s="76"/>
      <c r="AT28" s="83"/>
      <c r="AU28" s="76"/>
      <c r="AY28" s="43"/>
    </row>
    <row r="29" spans="1:51" ht="49.5" customHeight="1">
      <c r="A29" s="76"/>
      <c r="B29" s="81"/>
      <c r="C29" s="64"/>
      <c r="D29" s="62"/>
      <c r="E29" s="62"/>
      <c r="F29" s="76"/>
      <c r="G29" s="76"/>
      <c r="H29" s="76"/>
      <c r="I29" s="76"/>
      <c r="J29" s="76"/>
      <c r="K29" s="76"/>
      <c r="L29" s="76"/>
      <c r="M29" s="76"/>
      <c r="N29" s="64"/>
      <c r="O29" s="76"/>
      <c r="P29" s="76"/>
      <c r="Q29" s="77"/>
      <c r="R29" s="78"/>
      <c r="S29" s="78"/>
      <c r="T29" s="77"/>
      <c r="U29" s="78"/>
      <c r="V29" s="78"/>
      <c r="W29" s="77"/>
      <c r="X29" s="78"/>
      <c r="Y29" s="76"/>
      <c r="Z29" s="76"/>
      <c r="AA29" s="76"/>
      <c r="AB29" s="64"/>
      <c r="AC29" s="86"/>
      <c r="AD29" s="86"/>
      <c r="AE29" s="86"/>
      <c r="AF29" s="76"/>
      <c r="AG29" s="76"/>
      <c r="AH29" s="68"/>
      <c r="AI29" s="69"/>
      <c r="AJ29" s="70"/>
      <c r="AK29" s="71"/>
      <c r="AL29" s="70"/>
      <c r="AM29" s="76"/>
      <c r="AN29" s="82"/>
      <c r="AO29" s="80"/>
      <c r="AP29" s="76"/>
      <c r="AQ29" s="76"/>
      <c r="AR29" s="76"/>
      <c r="AS29" s="76"/>
      <c r="AT29" s="83"/>
      <c r="AU29" s="76"/>
      <c r="AY29" s="43"/>
    </row>
    <row r="30" spans="1:51" ht="49.5" customHeight="1">
      <c r="A30" s="76"/>
      <c r="B30" s="81"/>
      <c r="C30" s="64"/>
      <c r="D30" s="62"/>
      <c r="E30" s="62"/>
      <c r="F30" s="76"/>
      <c r="G30" s="76"/>
      <c r="H30" s="76"/>
      <c r="I30" s="76"/>
      <c r="J30" s="76"/>
      <c r="K30" s="76"/>
      <c r="L30" s="76"/>
      <c r="M30" s="76"/>
      <c r="N30" s="64"/>
      <c r="O30" s="76"/>
      <c r="P30" s="76"/>
      <c r="Q30" s="77"/>
      <c r="R30" s="78"/>
      <c r="S30" s="78"/>
      <c r="T30" s="77"/>
      <c r="U30" s="78"/>
      <c r="V30" s="78"/>
      <c r="W30" s="77"/>
      <c r="X30" s="78"/>
      <c r="Y30" s="76"/>
      <c r="Z30" s="76"/>
      <c r="AA30" s="76"/>
      <c r="AB30" s="64"/>
      <c r="AC30" s="64"/>
      <c r="AD30" s="64"/>
      <c r="AE30" s="64"/>
      <c r="AF30" s="76"/>
      <c r="AG30" s="76"/>
      <c r="AH30" s="68"/>
      <c r="AI30" s="69"/>
      <c r="AJ30" s="70"/>
      <c r="AK30" s="71"/>
      <c r="AL30" s="70"/>
      <c r="AM30" s="76"/>
      <c r="AN30" s="73"/>
      <c r="AO30" s="80"/>
      <c r="AP30" s="76"/>
      <c r="AQ30" s="76"/>
      <c r="AR30" s="76"/>
      <c r="AS30" s="76"/>
      <c r="AT30" s="83"/>
      <c r="AU30" s="76"/>
      <c r="AY30" s="43"/>
    </row>
    <row r="31" spans="1:51" ht="49.5" customHeight="1">
      <c r="A31" s="76"/>
      <c r="B31" s="76"/>
      <c r="C31" s="64"/>
      <c r="D31" s="62"/>
      <c r="E31" s="62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8"/>
      <c r="R31" s="78"/>
      <c r="S31" s="78"/>
      <c r="T31" s="78"/>
      <c r="U31" s="78"/>
      <c r="V31" s="78"/>
      <c r="W31" s="78"/>
      <c r="X31" s="78"/>
      <c r="Y31" s="76"/>
      <c r="Z31" s="76"/>
      <c r="AA31" s="76"/>
      <c r="AB31" s="64"/>
      <c r="AC31" s="64"/>
      <c r="AD31" s="64"/>
      <c r="AE31" s="76"/>
      <c r="AF31" s="76"/>
      <c r="AG31" s="76"/>
      <c r="AH31" s="93"/>
      <c r="AI31" s="69"/>
      <c r="AJ31" s="76"/>
      <c r="AK31" s="84"/>
      <c r="AL31" s="70"/>
      <c r="AM31" s="76"/>
      <c r="AN31" s="80"/>
      <c r="AO31" s="76"/>
      <c r="AP31" s="76"/>
      <c r="AQ31" s="76"/>
      <c r="AR31" s="76"/>
      <c r="AS31" s="76"/>
      <c r="AT31" s="76"/>
      <c r="AU31" s="76"/>
      <c r="AY31" s="43"/>
    </row>
    <row r="32" spans="1:51" ht="49.5" customHeight="1">
      <c r="A32" s="76"/>
      <c r="B32" s="81"/>
      <c r="C32" s="64"/>
      <c r="D32" s="62"/>
      <c r="E32" s="62"/>
      <c r="F32" s="76"/>
      <c r="G32" s="76"/>
      <c r="H32" s="76"/>
      <c r="I32" s="76"/>
      <c r="J32" s="76"/>
      <c r="K32" s="76"/>
      <c r="L32" s="76"/>
      <c r="M32" s="76"/>
      <c r="N32" s="64"/>
      <c r="O32" s="76"/>
      <c r="P32" s="76"/>
      <c r="Q32" s="77"/>
      <c r="R32" s="78"/>
      <c r="S32" s="78"/>
      <c r="T32" s="77"/>
      <c r="U32" s="78"/>
      <c r="V32" s="78"/>
      <c r="W32" s="77"/>
      <c r="X32" s="78"/>
      <c r="Y32" s="76"/>
      <c r="Z32" s="76"/>
      <c r="AA32" s="76"/>
      <c r="AB32" s="64"/>
      <c r="AC32" s="86"/>
      <c r="AD32" s="87"/>
      <c r="AE32" s="87"/>
      <c r="AF32" s="76"/>
      <c r="AG32" s="76"/>
      <c r="AH32" s="68"/>
      <c r="AI32" s="69"/>
      <c r="AJ32" s="70"/>
      <c r="AK32" s="71"/>
      <c r="AL32" s="70"/>
      <c r="AM32" s="76"/>
      <c r="AN32" s="80"/>
      <c r="AO32" s="76"/>
      <c r="AP32" s="76"/>
      <c r="AQ32" s="76"/>
      <c r="AR32" s="76"/>
      <c r="AS32" s="76"/>
      <c r="AT32" s="83"/>
      <c r="AU32" s="76"/>
      <c r="AY32" s="43"/>
    </row>
    <row r="33" spans="1:51" ht="49.5" customHeight="1">
      <c r="A33" s="76"/>
      <c r="B33" s="76"/>
      <c r="C33" s="64"/>
      <c r="D33" s="62"/>
      <c r="E33" s="62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8"/>
      <c r="R33" s="78"/>
      <c r="S33" s="78"/>
      <c r="T33" s="78"/>
      <c r="U33" s="78"/>
      <c r="V33" s="78"/>
      <c r="W33" s="78"/>
      <c r="X33" s="78"/>
      <c r="Y33" s="76"/>
      <c r="Z33" s="76"/>
      <c r="AA33" s="76"/>
      <c r="AB33" s="64"/>
      <c r="AC33" s="64"/>
      <c r="AD33" s="76"/>
      <c r="AE33" s="76"/>
      <c r="AF33" s="76"/>
      <c r="AG33" s="64"/>
      <c r="AH33" s="64"/>
      <c r="AI33" s="69"/>
      <c r="AJ33" s="76"/>
      <c r="AK33" s="84"/>
      <c r="AL33" s="70"/>
      <c r="AM33" s="76"/>
      <c r="AN33" s="76"/>
      <c r="AO33" s="76"/>
      <c r="AP33" s="76"/>
      <c r="AQ33" s="76"/>
      <c r="AR33" s="76"/>
      <c r="AS33" s="76"/>
      <c r="AT33" s="76"/>
      <c r="AU33" s="76"/>
      <c r="AY33" s="43"/>
    </row>
    <row r="34" spans="1:51" ht="49.5" customHeight="1">
      <c r="A34" s="76"/>
      <c r="B34" s="81"/>
      <c r="C34" s="64"/>
      <c r="D34" s="62"/>
      <c r="E34" s="62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8"/>
      <c r="R34" s="78"/>
      <c r="S34" s="78"/>
      <c r="T34" s="78"/>
      <c r="U34" s="78"/>
      <c r="V34" s="78"/>
      <c r="W34" s="78"/>
      <c r="X34" s="78"/>
      <c r="Y34" s="76"/>
      <c r="Z34" s="76"/>
      <c r="AA34" s="76"/>
      <c r="AB34" s="64"/>
      <c r="AC34" s="64"/>
      <c r="AD34" s="64"/>
      <c r="AE34" s="64"/>
      <c r="AF34" s="76"/>
      <c r="AG34" s="76"/>
      <c r="AH34" s="68"/>
      <c r="AI34" s="69"/>
      <c r="AJ34" s="70"/>
      <c r="AK34" s="71"/>
      <c r="AL34" s="70"/>
      <c r="AM34" s="76"/>
      <c r="AN34" s="73"/>
      <c r="AO34" s="80"/>
      <c r="AP34" s="76"/>
      <c r="AQ34" s="76"/>
      <c r="AR34" s="76"/>
      <c r="AS34" s="76"/>
      <c r="AT34" s="83"/>
      <c r="AU34" s="76"/>
      <c r="AY34" s="43"/>
    </row>
    <row r="35" spans="1:51" ht="49.5" customHeight="1">
      <c r="A35" s="76"/>
      <c r="B35" s="81"/>
      <c r="C35" s="64"/>
      <c r="D35" s="62"/>
      <c r="E35" s="62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8"/>
      <c r="R35" s="78"/>
      <c r="S35" s="78"/>
      <c r="T35" s="78"/>
      <c r="U35" s="78"/>
      <c r="V35" s="78"/>
      <c r="W35" s="78"/>
      <c r="X35" s="78"/>
      <c r="Y35" s="76"/>
      <c r="Z35" s="76"/>
      <c r="AA35" s="76"/>
      <c r="AB35" s="64"/>
      <c r="AC35" s="64"/>
      <c r="AD35" s="64"/>
      <c r="AE35" s="64"/>
      <c r="AF35" s="76"/>
      <c r="AG35" s="76"/>
      <c r="AH35" s="68"/>
      <c r="AI35" s="69"/>
      <c r="AJ35" s="70"/>
      <c r="AK35" s="71"/>
      <c r="AL35" s="70"/>
      <c r="AM35" s="76"/>
      <c r="AN35" s="82"/>
      <c r="AO35" s="83"/>
      <c r="AP35" s="76"/>
      <c r="AQ35" s="76"/>
      <c r="AR35" s="76"/>
      <c r="AS35" s="76"/>
      <c r="AT35" s="83"/>
      <c r="AU35" s="76"/>
      <c r="AY35" s="43"/>
    </row>
    <row r="36" spans="1:51" ht="49.5" customHeight="1">
      <c r="A36" s="76"/>
      <c r="B36" s="76"/>
      <c r="C36" s="64"/>
      <c r="D36" s="62"/>
      <c r="E36" s="62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8"/>
      <c r="R36" s="78"/>
      <c r="S36" s="78"/>
      <c r="T36" s="78"/>
      <c r="U36" s="78"/>
      <c r="V36" s="78"/>
      <c r="W36" s="78"/>
      <c r="X36" s="78"/>
      <c r="Y36" s="76"/>
      <c r="Z36" s="76"/>
      <c r="AA36" s="76"/>
      <c r="AB36" s="64"/>
      <c r="AC36" s="64"/>
      <c r="AD36" s="64"/>
      <c r="AE36" s="76"/>
      <c r="AF36" s="76"/>
      <c r="AG36" s="76"/>
      <c r="AH36" s="68"/>
      <c r="AI36" s="69"/>
      <c r="AJ36" s="70"/>
      <c r="AK36" s="71"/>
      <c r="AL36" s="70"/>
      <c r="AM36" s="76"/>
      <c r="AN36" s="80"/>
      <c r="AO36" s="76"/>
      <c r="AP36" s="76"/>
      <c r="AQ36" s="76"/>
      <c r="AR36" s="76"/>
      <c r="AS36" s="76"/>
      <c r="AT36" s="76"/>
      <c r="AU36" s="76"/>
      <c r="AY36" s="43"/>
    </row>
    <row r="37" spans="1:51" ht="49.5" customHeight="1">
      <c r="A37" s="76"/>
      <c r="B37" s="76"/>
      <c r="C37" s="64"/>
      <c r="D37" s="62"/>
      <c r="E37" s="62"/>
      <c r="F37" s="76"/>
      <c r="G37" s="76"/>
      <c r="H37" s="76"/>
      <c r="I37" s="76"/>
      <c r="J37" s="76"/>
      <c r="K37" s="76"/>
      <c r="L37" s="76"/>
      <c r="M37" s="76"/>
      <c r="N37" s="64"/>
      <c r="O37" s="76"/>
      <c r="P37" s="76"/>
      <c r="Q37" s="77"/>
      <c r="R37" s="78"/>
      <c r="S37" s="78"/>
      <c r="T37" s="77"/>
      <c r="U37" s="78"/>
      <c r="V37" s="78"/>
      <c r="W37" s="77"/>
      <c r="X37" s="78"/>
      <c r="Y37" s="76"/>
      <c r="Z37" s="76"/>
      <c r="AA37" s="76"/>
      <c r="AB37" s="64"/>
      <c r="AC37" s="64"/>
      <c r="AD37" s="64"/>
      <c r="AE37" s="76"/>
      <c r="AF37" s="76"/>
      <c r="AG37" s="76"/>
      <c r="AH37" s="68"/>
      <c r="AI37" s="69"/>
      <c r="AJ37" s="70"/>
      <c r="AK37" s="71"/>
      <c r="AL37" s="70"/>
      <c r="AM37" s="76"/>
      <c r="AN37" s="80"/>
      <c r="AO37" s="76"/>
      <c r="AP37" s="76"/>
      <c r="AQ37" s="76"/>
      <c r="AR37" s="76"/>
      <c r="AS37" s="76"/>
      <c r="AT37" s="76"/>
      <c r="AU37" s="76"/>
      <c r="AY37" s="43"/>
    </row>
    <row r="38" spans="1:51" ht="49.5" customHeight="1">
      <c r="A38" s="76"/>
      <c r="B38" s="76"/>
      <c r="C38" s="64"/>
      <c r="D38" s="62"/>
      <c r="E38" s="62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8"/>
      <c r="R38" s="78"/>
      <c r="S38" s="78"/>
      <c r="T38" s="78"/>
      <c r="U38" s="78"/>
      <c r="V38" s="78"/>
      <c r="W38" s="78"/>
      <c r="X38" s="78"/>
      <c r="Y38" s="76"/>
      <c r="Z38" s="76"/>
      <c r="AA38" s="76"/>
      <c r="AB38" s="64"/>
      <c r="AC38" s="64"/>
      <c r="AD38" s="64"/>
      <c r="AE38" s="76"/>
      <c r="AF38" s="76"/>
      <c r="AG38" s="64"/>
      <c r="AH38" s="64"/>
      <c r="AI38" s="69"/>
      <c r="AJ38" s="76"/>
      <c r="AK38" s="84"/>
      <c r="AL38" s="70"/>
      <c r="AM38" s="76"/>
      <c r="AN38" s="80"/>
      <c r="AO38" s="76"/>
      <c r="AP38" s="76"/>
      <c r="AQ38" s="76"/>
      <c r="AR38" s="76"/>
      <c r="AS38" s="76"/>
      <c r="AT38" s="76"/>
      <c r="AU38" s="76"/>
      <c r="AY38" s="43"/>
    </row>
    <row r="39" spans="1:51" ht="49.5" customHeight="1">
      <c r="A39" s="76"/>
      <c r="B39" s="76"/>
      <c r="C39" s="64"/>
      <c r="D39" s="62"/>
      <c r="E39" s="62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8"/>
      <c r="R39" s="78"/>
      <c r="S39" s="78"/>
      <c r="T39" s="78"/>
      <c r="U39" s="78"/>
      <c r="V39" s="78"/>
      <c r="W39" s="78"/>
      <c r="X39" s="78"/>
      <c r="Y39" s="76"/>
      <c r="Z39" s="76"/>
      <c r="AA39" s="76"/>
      <c r="AB39" s="64"/>
      <c r="AC39" s="64"/>
      <c r="AD39" s="64"/>
      <c r="AE39" s="76"/>
      <c r="AF39" s="76"/>
      <c r="AG39" s="64"/>
      <c r="AH39" s="64"/>
      <c r="AI39" s="69"/>
      <c r="AJ39" s="76"/>
      <c r="AK39" s="84"/>
      <c r="AL39" s="70"/>
      <c r="AM39" s="76"/>
      <c r="AN39" s="76"/>
      <c r="AO39" s="76"/>
      <c r="AP39" s="76"/>
      <c r="AQ39" s="76"/>
      <c r="AR39" s="76"/>
      <c r="AS39" s="76"/>
      <c r="AT39" s="76"/>
      <c r="AU39" s="76"/>
      <c r="AY39" s="43"/>
    </row>
    <row r="40" spans="1:51" ht="49.5" customHeight="1">
      <c r="A40" s="76"/>
      <c r="B40" s="76"/>
      <c r="C40" s="64"/>
      <c r="D40" s="62"/>
      <c r="E40" s="62"/>
      <c r="F40" s="76"/>
      <c r="G40" s="76"/>
      <c r="H40" s="76"/>
      <c r="I40" s="76"/>
      <c r="J40" s="76"/>
      <c r="K40" s="76"/>
      <c r="L40" s="76"/>
      <c r="M40" s="76"/>
      <c r="N40" s="64"/>
      <c r="O40" s="76"/>
      <c r="P40" s="76"/>
      <c r="Q40" s="77"/>
      <c r="R40" s="78"/>
      <c r="S40" s="78"/>
      <c r="T40" s="77"/>
      <c r="U40" s="78"/>
      <c r="V40" s="78"/>
      <c r="W40" s="77"/>
      <c r="X40" s="78"/>
      <c r="Y40" s="76"/>
      <c r="Z40" s="76"/>
      <c r="AA40" s="76"/>
      <c r="AB40" s="64"/>
      <c r="AC40" s="64"/>
      <c r="AD40" s="64"/>
      <c r="AE40" s="76"/>
      <c r="AF40" s="76"/>
      <c r="AG40" s="76"/>
      <c r="AH40" s="76"/>
      <c r="AI40" s="69"/>
      <c r="AJ40" s="76"/>
      <c r="AK40" s="84"/>
      <c r="AL40" s="70"/>
      <c r="AM40" s="76"/>
      <c r="AN40" s="73"/>
      <c r="AO40" s="80"/>
      <c r="AP40" s="76"/>
      <c r="AQ40" s="76"/>
      <c r="AR40" s="76"/>
      <c r="AS40" s="76"/>
      <c r="AT40" s="76"/>
      <c r="AU40" s="76"/>
      <c r="AY40" s="43"/>
    </row>
    <row r="41" spans="1:51" ht="49.5" customHeight="1">
      <c r="A41" s="76"/>
      <c r="B41" s="76"/>
      <c r="C41" s="64"/>
      <c r="D41" s="62"/>
      <c r="E41" s="62"/>
      <c r="F41" s="76"/>
      <c r="G41" s="76"/>
      <c r="H41" s="76"/>
      <c r="I41" s="76"/>
      <c r="J41" s="76"/>
      <c r="K41" s="76"/>
      <c r="L41" s="76"/>
      <c r="M41" s="76"/>
      <c r="N41" s="64"/>
      <c r="O41" s="76"/>
      <c r="P41" s="76"/>
      <c r="Q41" s="77"/>
      <c r="R41" s="78"/>
      <c r="S41" s="78"/>
      <c r="T41" s="77"/>
      <c r="U41" s="78"/>
      <c r="V41" s="78"/>
      <c r="W41" s="77"/>
      <c r="X41" s="78"/>
      <c r="Y41" s="76"/>
      <c r="Z41" s="76"/>
      <c r="AA41" s="76"/>
      <c r="AB41" s="64"/>
      <c r="AC41" s="64"/>
      <c r="AD41" s="76"/>
      <c r="AE41" s="76"/>
      <c r="AF41" s="76"/>
      <c r="AG41" s="76"/>
      <c r="AH41" s="68"/>
      <c r="AI41" s="69"/>
      <c r="AJ41" s="76"/>
      <c r="AK41" s="94"/>
      <c r="AL41" s="70"/>
      <c r="AM41" s="76"/>
      <c r="AN41" s="80"/>
      <c r="AO41" s="76"/>
      <c r="AP41" s="76"/>
      <c r="AQ41" s="76"/>
      <c r="AR41" s="76"/>
      <c r="AS41" s="76"/>
      <c r="AT41" s="76"/>
      <c r="AU41" s="76"/>
      <c r="AY41" s="43"/>
    </row>
    <row r="42" spans="1:51" ht="49.5" customHeight="1">
      <c r="A42" s="76"/>
      <c r="B42" s="76"/>
      <c r="C42" s="64"/>
      <c r="D42" s="62"/>
      <c r="E42" s="62"/>
      <c r="F42" s="76"/>
      <c r="G42" s="76"/>
      <c r="H42" s="76"/>
      <c r="I42" s="76"/>
      <c r="J42" s="76"/>
      <c r="K42" s="76"/>
      <c r="L42" s="76"/>
      <c r="M42" s="76"/>
      <c r="N42" s="64"/>
      <c r="O42" s="76"/>
      <c r="P42" s="76"/>
      <c r="Q42" s="77"/>
      <c r="R42" s="78"/>
      <c r="S42" s="78"/>
      <c r="T42" s="77"/>
      <c r="U42" s="78"/>
      <c r="V42" s="78"/>
      <c r="W42" s="77"/>
      <c r="X42" s="78"/>
      <c r="Y42" s="76"/>
      <c r="Z42" s="76"/>
      <c r="AA42" s="76"/>
      <c r="AB42" s="64"/>
      <c r="AC42" s="64"/>
      <c r="AD42" s="64"/>
      <c r="AE42" s="76"/>
      <c r="AF42" s="76"/>
      <c r="AG42" s="76"/>
      <c r="AH42" s="68"/>
      <c r="AI42" s="69"/>
      <c r="AJ42" s="76"/>
      <c r="AK42" s="94"/>
      <c r="AL42" s="70"/>
      <c r="AM42" s="76"/>
      <c r="AN42" s="80"/>
      <c r="AO42" s="76"/>
      <c r="AP42" s="76"/>
      <c r="AQ42" s="76"/>
      <c r="AR42" s="76"/>
      <c r="AS42" s="76"/>
      <c r="AT42" s="76"/>
      <c r="AU42" s="76"/>
      <c r="AY42" s="43"/>
    </row>
  </sheetData>
  <sheetProtection insertColumns="0" insertRows="0" deleteColumns="0" deleteRows="0"/>
  <autoFilter ref="A2:AU42"/>
  <mergeCells count="6">
    <mergeCell ref="A3:H3"/>
    <mergeCell ref="I3:I4"/>
    <mergeCell ref="J3:J4"/>
    <mergeCell ref="K3:X3"/>
    <mergeCell ref="Y3:Y4"/>
    <mergeCell ref="Z3:Z4"/>
  </mergeCells>
  <conditionalFormatting sqref="AJ7:AK7">
    <cfRule type="expression" priority="10" dxfId="6">
      <formula>$AF6="CONTRAT D'AVENIR"</formula>
    </cfRule>
    <cfRule type="expression" priority="11" dxfId="0">
      <formula>$AF6="CONTRACTUELLE"</formula>
    </cfRule>
    <cfRule type="expression" priority="12" dxfId="0">
      <formula>$AF6="CONTRACTUEL"</formula>
    </cfRule>
    <cfRule type="expression" priority="13" dxfId="11">
      <formula>$AF6="STAGIAIRE"</formula>
    </cfRule>
    <cfRule type="expression" priority="14" dxfId="12">
      <formula>$AF6="DETACHEMENT"</formula>
    </cfRule>
    <cfRule type="expression" priority="15" dxfId="13">
      <formula>$AF6="RETRAITE"</formula>
    </cfRule>
    <cfRule type="expression" priority="16" dxfId="14">
      <formula>$AF6="CUI"</formula>
    </cfRule>
    <cfRule type="expression" priority="17" dxfId="15">
      <formula>$AF6="TITULAIRE"</formula>
    </cfRule>
  </conditionalFormatting>
  <conditionalFormatting sqref="A5:AU42">
    <cfRule type="expression" priority="2" dxfId="6">
      <formula>$AF5="CONTRAT D'AVENIR"</formula>
    </cfRule>
    <cfRule type="expression" priority="3" dxfId="0">
      <formula>$AF5="CONTRACTUELLE"</formula>
    </cfRule>
    <cfRule type="expression" priority="4" dxfId="0">
      <formula>$AF5="CONTRACTUEL"</formula>
    </cfRule>
    <cfRule type="expression" priority="5" dxfId="11">
      <formula>$AF5="STAGIAIRE"</formula>
    </cfRule>
    <cfRule type="expression" priority="6" dxfId="12">
      <formula>$AF5="DETACHEMENT"</formula>
    </cfRule>
    <cfRule type="expression" priority="7" dxfId="13">
      <formula>$AF5="RETRAITE"</formula>
    </cfRule>
    <cfRule type="expression" priority="8" dxfId="14">
      <formula>$AF5="CUI"</formula>
    </cfRule>
    <cfRule type="expression" priority="9" dxfId="15">
      <formula>$AF5="TITULAIRE"</formula>
    </cfRule>
  </conditionalFormatting>
  <conditionalFormatting sqref="AK5">
    <cfRule type="expression" priority="1" dxfId="3">
      <formula>"si(Ak5=aujourdhui)"</formula>
    </cfRule>
  </conditionalFormatting>
  <dataValidations count="2">
    <dataValidation allowBlank="1" showInputMessage="1" showErrorMessage="1" promptTitle="ATTENTION" prompt="Pensez à renseigner toutes les colonnes, y compris la H &quot;STATUT&quot;" sqref="A3 A5:A65536"/>
    <dataValidation errorStyle="warning" type="custom" allowBlank="1" showInputMessage="1" showErrorMessage="1" errorTitle="ATTENTION" error="séparer les adresses mails par ; suivi d'un espace après (pas avant)" sqref="D4:D65536">
      <formula1>"E=/"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5"/>
  <sheetViews>
    <sheetView zoomScalePageLayoutView="0" workbookViewId="0" topLeftCell="B1">
      <pane ySplit="1725" topLeftCell="A113" activePane="bottomLeft" state="split"/>
      <selection pane="topLeft" activeCell="L17" sqref="L17"/>
      <selection pane="bottomLeft" activeCell="A172" sqref="A172:F172"/>
    </sheetView>
  </sheetViews>
  <sheetFormatPr defaultColWidth="11.421875" defaultRowHeight="15"/>
  <sheetData>
    <row r="1" spans="1:6" ht="45">
      <c r="A1" s="96" t="s">
        <v>131</v>
      </c>
      <c r="B1" s="96" t="s">
        <v>132</v>
      </c>
      <c r="C1" s="96" t="s">
        <v>133</v>
      </c>
      <c r="D1" s="96" t="s">
        <v>134</v>
      </c>
      <c r="E1" s="96" t="s">
        <v>135</v>
      </c>
      <c r="F1" s="97" t="s">
        <v>136</v>
      </c>
    </row>
    <row r="2" spans="1:6" ht="15">
      <c r="A2" s="383"/>
      <c r="B2" s="383"/>
      <c r="C2" s="383"/>
      <c r="D2" s="383"/>
      <c r="E2" s="383"/>
      <c r="F2" s="383"/>
    </row>
    <row r="3" spans="1:6" ht="30">
      <c r="A3" s="98" t="s">
        <v>137</v>
      </c>
      <c r="B3" s="10"/>
      <c r="C3" s="10"/>
      <c r="D3" s="10"/>
      <c r="E3" s="10"/>
      <c r="F3" s="99"/>
    </row>
    <row r="4" spans="1:6" ht="15">
      <c r="A4" s="100"/>
      <c r="F4" s="34"/>
    </row>
    <row r="5" spans="1:6" ht="15">
      <c r="A5" s="101">
        <v>340</v>
      </c>
      <c r="B5" s="101">
        <v>321</v>
      </c>
      <c r="C5" s="101">
        <v>12.78</v>
      </c>
      <c r="D5" s="101">
        <v>12.98</v>
      </c>
      <c r="E5" s="101">
        <v>21.3</v>
      </c>
      <c r="F5" s="102">
        <v>25.56</v>
      </c>
    </row>
    <row r="6" spans="1:6" ht="15">
      <c r="A6" s="384"/>
      <c r="B6" s="384"/>
      <c r="C6" s="384"/>
      <c r="D6" s="384"/>
      <c r="E6" s="384"/>
      <c r="F6" s="384"/>
    </row>
    <row r="7" spans="1:6" ht="15">
      <c r="A7" s="101">
        <v>341</v>
      </c>
      <c r="B7" s="101">
        <v>322</v>
      </c>
      <c r="C7" s="101">
        <v>12.81</v>
      </c>
      <c r="D7" s="101">
        <v>13.02</v>
      </c>
      <c r="E7" s="101">
        <v>21.35</v>
      </c>
      <c r="F7" s="102">
        <v>25.62</v>
      </c>
    </row>
    <row r="8" spans="1:6" ht="15">
      <c r="A8" s="384"/>
      <c r="B8" s="384"/>
      <c r="C8" s="384"/>
      <c r="D8" s="384"/>
      <c r="E8" s="384"/>
      <c r="F8" s="384"/>
    </row>
    <row r="9" spans="1:6" ht="15">
      <c r="A9" s="101">
        <v>342</v>
      </c>
      <c r="B9" s="101">
        <v>323</v>
      </c>
      <c r="C9" s="101">
        <v>12.85</v>
      </c>
      <c r="D9" s="101">
        <v>13.06</v>
      </c>
      <c r="E9" s="101">
        <v>21.42</v>
      </c>
      <c r="F9" s="102">
        <v>25.7</v>
      </c>
    </row>
    <row r="10" spans="1:6" ht="15">
      <c r="A10" s="384"/>
      <c r="B10" s="384"/>
      <c r="C10" s="384"/>
      <c r="D10" s="384"/>
      <c r="E10" s="384"/>
      <c r="F10" s="384"/>
    </row>
    <row r="11" spans="1:6" ht="15">
      <c r="A11" s="101">
        <v>343</v>
      </c>
      <c r="B11" s="101">
        <v>324</v>
      </c>
      <c r="C11" s="101">
        <v>12.89</v>
      </c>
      <c r="D11" s="101">
        <v>13.09</v>
      </c>
      <c r="E11" s="101">
        <v>21.48</v>
      </c>
      <c r="F11" s="102">
        <v>25.78</v>
      </c>
    </row>
    <row r="12" spans="1:6" ht="15">
      <c r="A12" s="384"/>
      <c r="B12" s="384"/>
      <c r="C12" s="384"/>
      <c r="D12" s="384"/>
      <c r="E12" s="384"/>
      <c r="F12" s="384"/>
    </row>
    <row r="13" spans="1:6" ht="15">
      <c r="A13" s="101">
        <v>344</v>
      </c>
      <c r="B13" s="101">
        <v>324</v>
      </c>
      <c r="C13" s="101">
        <v>12.89</v>
      </c>
      <c r="D13" s="101">
        <v>13.09</v>
      </c>
      <c r="E13" s="101">
        <v>21.48</v>
      </c>
      <c r="F13" s="102">
        <v>25.78</v>
      </c>
    </row>
    <row r="14" spans="1:6" ht="15">
      <c r="A14" s="384"/>
      <c r="B14" s="384"/>
      <c r="C14" s="384"/>
      <c r="D14" s="384"/>
      <c r="E14" s="384"/>
      <c r="F14" s="384"/>
    </row>
    <row r="15" spans="1:6" ht="15">
      <c r="A15" s="101">
        <v>345</v>
      </c>
      <c r="B15" s="101">
        <v>324</v>
      </c>
      <c r="C15" s="101">
        <v>12.89</v>
      </c>
      <c r="D15" s="101">
        <v>13.09</v>
      </c>
      <c r="E15" s="101">
        <v>21.48</v>
      </c>
      <c r="F15" s="102">
        <v>25.78</v>
      </c>
    </row>
    <row r="16" spans="1:6" ht="15">
      <c r="A16" s="384"/>
      <c r="B16" s="384"/>
      <c r="C16" s="384"/>
      <c r="D16" s="384"/>
      <c r="E16" s="384"/>
      <c r="F16" s="384"/>
    </row>
    <row r="17" spans="1:6" ht="15">
      <c r="A17" s="101">
        <v>346</v>
      </c>
      <c r="B17" s="101">
        <v>324</v>
      </c>
      <c r="C17" s="101">
        <v>12.89</v>
      </c>
      <c r="D17" s="101">
        <v>13.09</v>
      </c>
      <c r="E17" s="101">
        <v>21.48</v>
      </c>
      <c r="F17" s="102">
        <v>25.78</v>
      </c>
    </row>
    <row r="18" spans="1:6" ht="15">
      <c r="A18" s="384"/>
      <c r="B18" s="384"/>
      <c r="C18" s="384"/>
      <c r="D18" s="384"/>
      <c r="E18" s="384"/>
      <c r="F18" s="384"/>
    </row>
    <row r="19" spans="1:6" ht="15">
      <c r="A19" s="101">
        <v>347</v>
      </c>
      <c r="B19" s="101">
        <v>325</v>
      </c>
      <c r="C19" s="101">
        <v>12.93</v>
      </c>
      <c r="D19" s="101">
        <v>13.13</v>
      </c>
      <c r="E19" s="101">
        <v>21.55</v>
      </c>
      <c r="F19" s="102">
        <v>25.86</v>
      </c>
    </row>
    <row r="20" spans="1:6" ht="15">
      <c r="A20" s="384"/>
      <c r="B20" s="384"/>
      <c r="C20" s="384"/>
      <c r="D20" s="384"/>
      <c r="E20" s="384"/>
      <c r="F20" s="384"/>
    </row>
    <row r="21" spans="1:6" ht="15">
      <c r="A21" s="101">
        <v>348</v>
      </c>
      <c r="B21" s="101">
        <v>326</v>
      </c>
      <c r="C21" s="101">
        <v>12.96</v>
      </c>
      <c r="D21" s="101">
        <v>13.17</v>
      </c>
      <c r="E21" s="101">
        <v>21.6</v>
      </c>
      <c r="F21" s="102">
        <v>25.92</v>
      </c>
    </row>
    <row r="22" spans="1:6" ht="15">
      <c r="A22" s="384"/>
      <c r="B22" s="384"/>
      <c r="C22" s="384"/>
      <c r="D22" s="384"/>
      <c r="E22" s="384"/>
      <c r="F22" s="384"/>
    </row>
    <row r="23" spans="1:6" ht="15">
      <c r="A23" s="101">
        <v>349</v>
      </c>
      <c r="B23" s="101">
        <v>327</v>
      </c>
      <c r="C23" s="101">
        <v>13.01</v>
      </c>
      <c r="D23" s="101">
        <v>13.22</v>
      </c>
      <c r="E23" s="101">
        <v>21.68</v>
      </c>
      <c r="F23" s="102">
        <v>26.02</v>
      </c>
    </row>
    <row r="24" spans="1:6" ht="15">
      <c r="A24" s="384"/>
      <c r="B24" s="384"/>
      <c r="C24" s="384"/>
      <c r="D24" s="384"/>
      <c r="E24" s="384"/>
      <c r="F24" s="384"/>
    </row>
    <row r="25" spans="1:6" ht="15">
      <c r="A25" s="101">
        <v>350</v>
      </c>
      <c r="B25" s="101">
        <v>327</v>
      </c>
      <c r="C25" s="101">
        <v>13.01</v>
      </c>
      <c r="D25" s="101">
        <v>13.22</v>
      </c>
      <c r="E25" s="101">
        <v>21.68</v>
      </c>
      <c r="F25" s="102">
        <v>26.02</v>
      </c>
    </row>
    <row r="26" spans="1:6" ht="15">
      <c r="A26" s="384"/>
      <c r="B26" s="384"/>
      <c r="C26" s="384"/>
      <c r="D26" s="384"/>
      <c r="E26" s="384"/>
      <c r="F26" s="384"/>
    </row>
    <row r="27" spans="1:6" ht="15">
      <c r="A27" s="101">
        <v>351</v>
      </c>
      <c r="B27" s="101">
        <v>328</v>
      </c>
      <c r="C27" s="101">
        <v>13.05</v>
      </c>
      <c r="D27" s="101">
        <v>13.26</v>
      </c>
      <c r="E27" s="101">
        <v>21.75</v>
      </c>
      <c r="F27" s="102">
        <v>26.1</v>
      </c>
    </row>
    <row r="28" spans="1:6" ht="15">
      <c r="A28" s="384"/>
      <c r="B28" s="384"/>
      <c r="C28" s="384"/>
      <c r="D28" s="384"/>
      <c r="E28" s="384"/>
      <c r="F28" s="384"/>
    </row>
    <row r="29" spans="1:6" ht="15">
      <c r="A29" s="101">
        <v>352</v>
      </c>
      <c r="B29" s="101">
        <v>329</v>
      </c>
      <c r="C29" s="101">
        <v>13.09</v>
      </c>
      <c r="D29" s="101">
        <v>13.3</v>
      </c>
      <c r="E29" s="101">
        <v>21.82</v>
      </c>
      <c r="F29" s="102">
        <v>26.18</v>
      </c>
    </row>
    <row r="30" spans="1:6" ht="15">
      <c r="A30" s="384"/>
      <c r="B30" s="384"/>
      <c r="C30" s="384"/>
      <c r="D30" s="384"/>
      <c r="E30" s="384"/>
      <c r="F30" s="384"/>
    </row>
    <row r="31" spans="1:6" ht="15">
      <c r="A31" s="101">
        <v>353</v>
      </c>
      <c r="B31" s="101">
        <v>329</v>
      </c>
      <c r="C31" s="101">
        <v>13.09</v>
      </c>
      <c r="D31" s="101">
        <v>13.3</v>
      </c>
      <c r="E31" s="101">
        <v>21.82</v>
      </c>
      <c r="F31" s="102">
        <v>26.18</v>
      </c>
    </row>
    <row r="32" spans="1:6" ht="15">
      <c r="A32" s="384"/>
      <c r="B32" s="384"/>
      <c r="C32" s="384"/>
      <c r="D32" s="384"/>
      <c r="E32" s="384"/>
      <c r="F32" s="384"/>
    </row>
    <row r="33" spans="1:6" ht="15">
      <c r="A33" s="101">
        <v>354</v>
      </c>
      <c r="B33" s="101">
        <v>330</v>
      </c>
      <c r="C33" s="101">
        <v>13.13</v>
      </c>
      <c r="D33" s="101">
        <v>13.34</v>
      </c>
      <c r="E33" s="101">
        <v>21.88</v>
      </c>
      <c r="F33" s="102">
        <v>26.26</v>
      </c>
    </row>
    <row r="34" spans="1:6" ht="15">
      <c r="A34" s="384"/>
      <c r="B34" s="384"/>
      <c r="C34" s="384"/>
      <c r="D34" s="384"/>
      <c r="E34" s="384"/>
      <c r="F34" s="384"/>
    </row>
    <row r="35" spans="1:6" ht="15">
      <c r="A35" s="101">
        <v>355</v>
      </c>
      <c r="B35" s="101">
        <v>331</v>
      </c>
      <c r="C35" s="101">
        <v>13.16</v>
      </c>
      <c r="D35" s="101">
        <v>13.37</v>
      </c>
      <c r="E35" s="101">
        <v>21.93</v>
      </c>
      <c r="F35" s="102">
        <v>26.32</v>
      </c>
    </row>
    <row r="36" spans="1:6" ht="15">
      <c r="A36" s="384"/>
      <c r="B36" s="384"/>
      <c r="C36" s="384"/>
      <c r="D36" s="384"/>
      <c r="E36" s="384"/>
      <c r="F36" s="384"/>
    </row>
    <row r="37" spans="1:6" ht="15">
      <c r="A37" s="101">
        <v>356</v>
      </c>
      <c r="B37" s="101">
        <v>332</v>
      </c>
      <c r="C37" s="101">
        <v>13.21</v>
      </c>
      <c r="D37" s="101">
        <v>13.42</v>
      </c>
      <c r="E37" s="101">
        <v>22.02</v>
      </c>
      <c r="F37" s="102">
        <v>26.42</v>
      </c>
    </row>
    <row r="38" spans="1:6" ht="15">
      <c r="A38" s="384"/>
      <c r="B38" s="384"/>
      <c r="C38" s="384"/>
      <c r="D38" s="384"/>
      <c r="E38" s="384"/>
      <c r="F38" s="384"/>
    </row>
    <row r="39" spans="1:6" ht="15">
      <c r="A39" s="101">
        <v>357</v>
      </c>
      <c r="B39" s="101">
        <v>332</v>
      </c>
      <c r="C39" s="101">
        <v>13.21</v>
      </c>
      <c r="D39" s="101">
        <v>13.42</v>
      </c>
      <c r="E39" s="101">
        <v>22.02</v>
      </c>
      <c r="F39" s="102">
        <v>26.42</v>
      </c>
    </row>
    <row r="40" spans="1:6" ht="15">
      <c r="A40" s="384"/>
      <c r="B40" s="384"/>
      <c r="C40" s="384"/>
      <c r="D40" s="384"/>
      <c r="E40" s="384"/>
      <c r="F40" s="384"/>
    </row>
    <row r="41" spans="1:6" ht="15">
      <c r="A41" s="101">
        <v>358</v>
      </c>
      <c r="B41" s="101">
        <v>333</v>
      </c>
      <c r="C41" s="101">
        <v>13.25</v>
      </c>
      <c r="D41" s="101">
        <v>13.46</v>
      </c>
      <c r="E41" s="101">
        <v>22.08</v>
      </c>
      <c r="F41" s="102">
        <v>26.5</v>
      </c>
    </row>
    <row r="42" spans="1:6" ht="15">
      <c r="A42" s="384"/>
      <c r="B42" s="384"/>
      <c r="C42" s="384"/>
      <c r="D42" s="384"/>
      <c r="E42" s="384"/>
      <c r="F42" s="384"/>
    </row>
    <row r="43" spans="1:6" ht="15">
      <c r="A43" s="101">
        <v>359</v>
      </c>
      <c r="B43" s="101">
        <v>334</v>
      </c>
      <c r="C43" s="101">
        <v>13.29</v>
      </c>
      <c r="D43" s="101">
        <v>13.5</v>
      </c>
      <c r="E43" s="101">
        <v>22.15</v>
      </c>
      <c r="F43" s="102">
        <v>26.58</v>
      </c>
    </row>
    <row r="44" spans="1:6" ht="15">
      <c r="A44" s="384"/>
      <c r="B44" s="384"/>
      <c r="C44" s="384"/>
      <c r="D44" s="384"/>
      <c r="E44" s="384"/>
      <c r="F44" s="384"/>
    </row>
    <row r="45" spans="1:6" ht="15">
      <c r="A45" s="101">
        <v>360</v>
      </c>
      <c r="B45" s="101">
        <v>335</v>
      </c>
      <c r="C45" s="101">
        <v>13.33</v>
      </c>
      <c r="D45" s="101">
        <v>13.54</v>
      </c>
      <c r="E45" s="101">
        <v>22.22</v>
      </c>
      <c r="F45" s="102">
        <v>26.66</v>
      </c>
    </row>
    <row r="46" spans="1:6" ht="15">
      <c r="A46" s="384"/>
      <c r="B46" s="384"/>
      <c r="C46" s="384"/>
      <c r="D46" s="384"/>
      <c r="E46" s="384"/>
      <c r="F46" s="384"/>
    </row>
    <row r="47" spans="1:6" ht="15">
      <c r="A47" s="101">
        <v>361</v>
      </c>
      <c r="B47" s="101">
        <v>335</v>
      </c>
      <c r="C47" s="101">
        <v>13.33</v>
      </c>
      <c r="D47" s="101">
        <v>13.54</v>
      </c>
      <c r="E47" s="101">
        <v>22.22</v>
      </c>
      <c r="F47" s="102">
        <v>26.66</v>
      </c>
    </row>
    <row r="48" spans="1:6" ht="15">
      <c r="A48" s="384"/>
      <c r="B48" s="384"/>
      <c r="C48" s="384"/>
      <c r="D48" s="384"/>
      <c r="E48" s="384"/>
      <c r="F48" s="384"/>
    </row>
    <row r="49" spans="1:6" ht="15">
      <c r="A49" s="101">
        <v>362</v>
      </c>
      <c r="B49" s="101">
        <v>336</v>
      </c>
      <c r="C49" s="101">
        <v>13.36</v>
      </c>
      <c r="D49" s="101">
        <v>13.58</v>
      </c>
      <c r="E49" s="101">
        <v>22.27</v>
      </c>
      <c r="F49" s="102">
        <v>26.72</v>
      </c>
    </row>
    <row r="50" spans="1:6" ht="15">
      <c r="A50" s="384"/>
      <c r="B50" s="384"/>
      <c r="C50" s="384"/>
      <c r="D50" s="384"/>
      <c r="E50" s="384"/>
      <c r="F50" s="384"/>
    </row>
    <row r="51" spans="1:6" ht="15">
      <c r="A51" s="101">
        <v>363</v>
      </c>
      <c r="B51" s="101">
        <v>337</v>
      </c>
      <c r="C51" s="101">
        <v>13.4</v>
      </c>
      <c r="D51" s="101">
        <v>13.61</v>
      </c>
      <c r="E51" s="101">
        <v>22.33</v>
      </c>
      <c r="F51" s="102">
        <v>26.8</v>
      </c>
    </row>
    <row r="52" spans="1:6" ht="15">
      <c r="A52" s="384"/>
      <c r="B52" s="384"/>
      <c r="C52" s="384"/>
      <c r="D52" s="384"/>
      <c r="E52" s="384"/>
      <c r="F52" s="384"/>
    </row>
    <row r="53" spans="1:6" ht="15">
      <c r="A53" s="101">
        <v>364</v>
      </c>
      <c r="B53" s="101">
        <v>338</v>
      </c>
      <c r="C53" s="101">
        <v>13.45</v>
      </c>
      <c r="D53" s="101">
        <v>13.67</v>
      </c>
      <c r="E53" s="101">
        <v>22.42</v>
      </c>
      <c r="F53" s="102">
        <v>26.9</v>
      </c>
    </row>
    <row r="54" spans="1:6" ht="15">
      <c r="A54" s="384"/>
      <c r="B54" s="384"/>
      <c r="C54" s="384"/>
      <c r="D54" s="384"/>
      <c r="E54" s="384"/>
      <c r="F54" s="384"/>
    </row>
    <row r="55" spans="1:6" ht="15">
      <c r="A55" s="101">
        <v>365</v>
      </c>
      <c r="B55" s="101">
        <v>338</v>
      </c>
      <c r="C55" s="101">
        <v>13.45</v>
      </c>
      <c r="D55" s="101">
        <v>13.67</v>
      </c>
      <c r="E55" s="101">
        <v>22.42</v>
      </c>
      <c r="F55" s="102">
        <v>26.9</v>
      </c>
    </row>
    <row r="56" spans="1:6" ht="15">
      <c r="A56" s="384"/>
      <c r="B56" s="384"/>
      <c r="C56" s="384"/>
      <c r="D56" s="384"/>
      <c r="E56" s="384"/>
      <c r="F56" s="384"/>
    </row>
    <row r="57" spans="1:6" ht="15">
      <c r="A57" s="101">
        <v>366</v>
      </c>
      <c r="B57" s="101">
        <v>339</v>
      </c>
      <c r="C57" s="101">
        <v>13.49</v>
      </c>
      <c r="D57" s="101">
        <v>13.7</v>
      </c>
      <c r="E57" s="101">
        <v>22.48</v>
      </c>
      <c r="F57" s="102">
        <v>26.98</v>
      </c>
    </row>
    <row r="58" spans="1:6" ht="15">
      <c r="A58" s="384"/>
      <c r="B58" s="384"/>
      <c r="C58" s="384"/>
      <c r="D58" s="384"/>
      <c r="E58" s="384"/>
      <c r="F58" s="384"/>
    </row>
    <row r="59" spans="1:6" ht="15">
      <c r="A59" s="101">
        <v>367</v>
      </c>
      <c r="B59" s="101">
        <v>340</v>
      </c>
      <c r="C59" s="101">
        <v>13.53</v>
      </c>
      <c r="D59" s="101">
        <v>13.74</v>
      </c>
      <c r="E59" s="101">
        <v>22.55</v>
      </c>
      <c r="F59" s="102">
        <v>27.06</v>
      </c>
    </row>
    <row r="60" spans="1:6" ht="15">
      <c r="A60" s="384"/>
      <c r="B60" s="384"/>
      <c r="C60" s="384"/>
      <c r="D60" s="384"/>
      <c r="E60" s="384"/>
      <c r="F60" s="384"/>
    </row>
    <row r="61" spans="1:6" ht="15">
      <c r="A61" s="101">
        <v>368</v>
      </c>
      <c r="B61" s="101">
        <v>341</v>
      </c>
      <c r="C61" s="101">
        <v>13.56</v>
      </c>
      <c r="D61" s="101">
        <v>13.78</v>
      </c>
      <c r="E61" s="101">
        <v>22.6</v>
      </c>
      <c r="F61" s="102">
        <v>27.12</v>
      </c>
    </row>
    <row r="62" spans="1:6" ht="15">
      <c r="A62" s="384"/>
      <c r="B62" s="384"/>
      <c r="C62" s="384"/>
      <c r="D62" s="384"/>
      <c r="E62" s="384"/>
      <c r="F62" s="384"/>
    </row>
    <row r="63" spans="1:6" ht="15">
      <c r="A63" s="101">
        <v>369</v>
      </c>
      <c r="B63" s="101">
        <v>341</v>
      </c>
      <c r="C63" s="101">
        <v>13.56</v>
      </c>
      <c r="D63" s="101">
        <v>13.78</v>
      </c>
      <c r="E63" s="101">
        <v>22.6</v>
      </c>
      <c r="F63" s="102">
        <v>27.12</v>
      </c>
    </row>
    <row r="64" spans="1:6" ht="15">
      <c r="A64" s="384"/>
      <c r="B64" s="384"/>
      <c r="C64" s="384"/>
      <c r="D64" s="384"/>
      <c r="E64" s="384"/>
      <c r="F64" s="384"/>
    </row>
    <row r="65" spans="1:6" ht="15">
      <c r="A65" s="101">
        <v>370</v>
      </c>
      <c r="B65" s="101">
        <v>342</v>
      </c>
      <c r="C65" s="101">
        <v>13.6</v>
      </c>
      <c r="D65" s="101">
        <v>13.82</v>
      </c>
      <c r="E65" s="101">
        <v>22.67</v>
      </c>
      <c r="F65" s="102">
        <v>27.2</v>
      </c>
    </row>
    <row r="66" spans="1:6" ht="15">
      <c r="A66" s="384"/>
      <c r="B66" s="384"/>
      <c r="C66" s="384"/>
      <c r="D66" s="384"/>
      <c r="E66" s="384"/>
      <c r="F66" s="384"/>
    </row>
    <row r="67" spans="1:6" ht="15">
      <c r="A67" s="101">
        <v>371</v>
      </c>
      <c r="B67" s="101">
        <v>343</v>
      </c>
      <c r="C67" s="101">
        <v>13.65</v>
      </c>
      <c r="D67" s="101">
        <v>13.87</v>
      </c>
      <c r="E67" s="101">
        <v>22.75</v>
      </c>
      <c r="F67" s="102">
        <v>27.3</v>
      </c>
    </row>
    <row r="68" spans="1:6" ht="15">
      <c r="A68" s="384"/>
      <c r="B68" s="384"/>
      <c r="C68" s="384"/>
      <c r="D68" s="384"/>
      <c r="E68" s="384"/>
      <c r="F68" s="384"/>
    </row>
    <row r="69" spans="1:6" ht="15">
      <c r="A69" s="101">
        <v>372</v>
      </c>
      <c r="B69" s="101">
        <v>343</v>
      </c>
      <c r="C69" s="101">
        <v>13.65</v>
      </c>
      <c r="D69" s="101">
        <v>13.87</v>
      </c>
      <c r="E69" s="101">
        <v>22.75</v>
      </c>
      <c r="F69" s="102">
        <v>27.3</v>
      </c>
    </row>
    <row r="70" spans="1:6" ht="15">
      <c r="A70" s="384"/>
      <c r="B70" s="384"/>
      <c r="C70" s="384"/>
      <c r="D70" s="384"/>
      <c r="E70" s="384"/>
      <c r="F70" s="384"/>
    </row>
    <row r="71" spans="1:6" ht="15">
      <c r="A71" s="101">
        <v>373</v>
      </c>
      <c r="B71" s="101">
        <v>344</v>
      </c>
      <c r="C71" s="101">
        <v>13.69</v>
      </c>
      <c r="D71" s="101">
        <v>13.91</v>
      </c>
      <c r="E71" s="101">
        <v>22.82</v>
      </c>
      <c r="F71" s="102">
        <v>27.38</v>
      </c>
    </row>
    <row r="72" spans="1:6" ht="15">
      <c r="A72" s="384"/>
      <c r="B72" s="384"/>
      <c r="C72" s="384"/>
      <c r="D72" s="384"/>
      <c r="E72" s="384"/>
      <c r="F72" s="384"/>
    </row>
    <row r="73" spans="1:6" ht="15">
      <c r="A73" s="101">
        <v>374</v>
      </c>
      <c r="B73" s="101">
        <v>345</v>
      </c>
      <c r="C73" s="101">
        <v>13.73</v>
      </c>
      <c r="D73" s="101">
        <v>13.94</v>
      </c>
      <c r="E73" s="101">
        <v>22.88</v>
      </c>
      <c r="F73" s="102">
        <v>27.46</v>
      </c>
    </row>
    <row r="74" spans="1:6" ht="15">
      <c r="A74" s="384"/>
      <c r="B74" s="384"/>
      <c r="C74" s="384"/>
      <c r="D74" s="384"/>
      <c r="E74" s="384"/>
      <c r="F74" s="384"/>
    </row>
    <row r="75" spans="1:6" ht="15">
      <c r="A75" s="101">
        <v>375</v>
      </c>
      <c r="B75" s="101">
        <v>346</v>
      </c>
      <c r="C75" s="101">
        <v>13.76</v>
      </c>
      <c r="D75" s="101">
        <v>13.98</v>
      </c>
      <c r="E75" s="101">
        <v>22.93</v>
      </c>
      <c r="F75" s="102">
        <v>27.52</v>
      </c>
    </row>
    <row r="76" spans="1:6" ht="15">
      <c r="A76" s="384"/>
      <c r="B76" s="384"/>
      <c r="C76" s="384"/>
      <c r="D76" s="384"/>
      <c r="E76" s="384"/>
      <c r="F76" s="384"/>
    </row>
    <row r="77" spans="1:6" ht="15">
      <c r="A77" s="101">
        <v>376</v>
      </c>
      <c r="B77" s="101">
        <v>346</v>
      </c>
      <c r="C77" s="101">
        <v>13.76</v>
      </c>
      <c r="D77" s="101">
        <v>13.98</v>
      </c>
      <c r="E77" s="101">
        <v>22.93</v>
      </c>
      <c r="F77" s="102">
        <v>27.52</v>
      </c>
    </row>
    <row r="78" spans="1:6" ht="15">
      <c r="A78" s="384"/>
      <c r="B78" s="384"/>
      <c r="C78" s="384"/>
      <c r="D78" s="384"/>
      <c r="E78" s="384"/>
      <c r="F78" s="384"/>
    </row>
    <row r="79" spans="1:6" ht="15">
      <c r="A79" s="101">
        <v>377</v>
      </c>
      <c r="B79" s="101">
        <v>347</v>
      </c>
      <c r="C79" s="101">
        <v>13.8</v>
      </c>
      <c r="D79" s="101">
        <v>14.02</v>
      </c>
      <c r="E79" s="101">
        <v>23</v>
      </c>
      <c r="F79" s="102">
        <v>27.6</v>
      </c>
    </row>
    <row r="80" spans="1:6" ht="15">
      <c r="A80" s="384"/>
      <c r="B80" s="384"/>
      <c r="C80" s="384"/>
      <c r="D80" s="384"/>
      <c r="E80" s="384"/>
      <c r="F80" s="384"/>
    </row>
    <row r="81" spans="1:6" ht="15">
      <c r="A81" s="101">
        <v>378</v>
      </c>
      <c r="B81" s="101">
        <v>348</v>
      </c>
      <c r="C81" s="101">
        <v>13.84</v>
      </c>
      <c r="D81" s="101">
        <v>14.06</v>
      </c>
      <c r="E81" s="101">
        <v>23.07</v>
      </c>
      <c r="F81" s="102">
        <v>27.68</v>
      </c>
    </row>
    <row r="82" spans="1:6" ht="15">
      <c r="A82" s="384"/>
      <c r="B82" s="384"/>
      <c r="C82" s="384"/>
      <c r="D82" s="384"/>
      <c r="E82" s="384"/>
      <c r="F82" s="384"/>
    </row>
    <row r="83" spans="1:6" ht="15">
      <c r="A83" s="101">
        <v>379</v>
      </c>
      <c r="B83" s="101">
        <v>349</v>
      </c>
      <c r="C83" s="101">
        <v>13.89</v>
      </c>
      <c r="D83" s="101">
        <v>14.11</v>
      </c>
      <c r="E83" s="101">
        <v>23.15</v>
      </c>
      <c r="F83" s="102">
        <v>27.78</v>
      </c>
    </row>
    <row r="84" spans="1:6" ht="15">
      <c r="A84" s="384"/>
      <c r="B84" s="384"/>
      <c r="C84" s="384"/>
      <c r="D84" s="384"/>
      <c r="E84" s="384"/>
      <c r="F84" s="384"/>
    </row>
    <row r="85" spans="1:6" ht="15">
      <c r="A85" s="101">
        <v>380</v>
      </c>
      <c r="B85" s="101">
        <v>350</v>
      </c>
      <c r="C85" s="101">
        <v>13.93</v>
      </c>
      <c r="D85" s="101">
        <v>14.15</v>
      </c>
      <c r="E85" s="101">
        <v>23.22</v>
      </c>
      <c r="F85" s="102">
        <v>27.86</v>
      </c>
    </row>
    <row r="86" spans="1:6" ht="15">
      <c r="A86" s="384"/>
      <c r="B86" s="384"/>
      <c r="C86" s="384"/>
      <c r="D86" s="384"/>
      <c r="E86" s="384"/>
      <c r="F86" s="384"/>
    </row>
    <row r="87" spans="1:6" ht="15">
      <c r="A87" s="101">
        <v>381</v>
      </c>
      <c r="B87" s="101">
        <v>351</v>
      </c>
      <c r="C87" s="101">
        <v>13.96</v>
      </c>
      <c r="D87" s="101">
        <v>14.19</v>
      </c>
      <c r="E87" s="101">
        <v>23.27</v>
      </c>
      <c r="F87" s="102">
        <v>27.92</v>
      </c>
    </row>
    <row r="88" spans="1:6" ht="15">
      <c r="A88" s="384"/>
      <c r="B88" s="384"/>
      <c r="C88" s="384"/>
      <c r="D88" s="384"/>
      <c r="E88" s="384"/>
      <c r="F88" s="384"/>
    </row>
    <row r="89" spans="1:6" ht="15">
      <c r="A89" s="101">
        <v>382</v>
      </c>
      <c r="B89" s="101">
        <v>352</v>
      </c>
      <c r="C89" s="101">
        <v>14</v>
      </c>
      <c r="D89" s="101">
        <v>14.22</v>
      </c>
      <c r="E89" s="101">
        <v>23.33</v>
      </c>
      <c r="F89" s="102">
        <v>28</v>
      </c>
    </row>
    <row r="90" spans="1:6" ht="15">
      <c r="A90" s="384"/>
      <c r="B90" s="384"/>
      <c r="C90" s="384"/>
      <c r="D90" s="384"/>
      <c r="E90" s="384"/>
      <c r="F90" s="384"/>
    </row>
    <row r="91" spans="1:6" ht="15">
      <c r="A91" s="101">
        <v>383</v>
      </c>
      <c r="B91" s="101">
        <v>352</v>
      </c>
      <c r="C91" s="101">
        <v>14</v>
      </c>
      <c r="D91" s="101">
        <v>14.22</v>
      </c>
      <c r="E91" s="101">
        <v>23.33</v>
      </c>
      <c r="F91" s="102">
        <v>28</v>
      </c>
    </row>
    <row r="92" spans="1:6" ht="15">
      <c r="A92" s="384"/>
      <c r="B92" s="384"/>
      <c r="C92" s="384"/>
      <c r="D92" s="384"/>
      <c r="E92" s="384"/>
      <c r="F92" s="384"/>
    </row>
    <row r="93" spans="1:6" ht="15">
      <c r="A93" s="101">
        <v>384</v>
      </c>
      <c r="B93" s="101">
        <v>352</v>
      </c>
      <c r="C93" s="101">
        <v>14</v>
      </c>
      <c r="D93" s="101">
        <v>14.22</v>
      </c>
      <c r="E93" s="101">
        <v>23.33</v>
      </c>
      <c r="F93" s="102">
        <v>28</v>
      </c>
    </row>
    <row r="94" spans="1:6" ht="15">
      <c r="A94" s="384"/>
      <c r="B94" s="384"/>
      <c r="C94" s="384"/>
      <c r="D94" s="384"/>
      <c r="E94" s="384"/>
      <c r="F94" s="384"/>
    </row>
    <row r="95" spans="1:6" ht="15">
      <c r="A95" s="101">
        <v>385</v>
      </c>
      <c r="B95" s="101">
        <v>353</v>
      </c>
      <c r="C95" s="101">
        <v>14.04</v>
      </c>
      <c r="D95" s="101">
        <v>14.26</v>
      </c>
      <c r="E95" s="101">
        <v>23.4</v>
      </c>
      <c r="F95" s="102">
        <v>28.08</v>
      </c>
    </row>
    <row r="96" spans="1:6" ht="15">
      <c r="A96" s="384"/>
      <c r="B96" s="384"/>
      <c r="C96" s="384"/>
      <c r="D96" s="384"/>
      <c r="E96" s="384"/>
      <c r="F96" s="384"/>
    </row>
    <row r="97" spans="1:6" ht="15">
      <c r="A97" s="101">
        <v>386</v>
      </c>
      <c r="B97" s="101">
        <v>354</v>
      </c>
      <c r="C97" s="101">
        <v>14.09</v>
      </c>
      <c r="D97" s="101">
        <v>14.31</v>
      </c>
      <c r="E97" s="101">
        <v>23.48</v>
      </c>
      <c r="F97" s="102">
        <v>28.18</v>
      </c>
    </row>
    <row r="98" spans="1:6" ht="15">
      <c r="A98" s="384"/>
      <c r="B98" s="384"/>
      <c r="C98" s="384"/>
      <c r="D98" s="384"/>
      <c r="E98" s="384"/>
      <c r="F98" s="384"/>
    </row>
    <row r="99" spans="1:6" ht="15">
      <c r="A99" s="101">
        <v>387</v>
      </c>
      <c r="B99" s="101">
        <v>354</v>
      </c>
      <c r="C99" s="101">
        <v>14.09</v>
      </c>
      <c r="D99" s="101">
        <v>14.31</v>
      </c>
      <c r="E99" s="101">
        <v>23.48</v>
      </c>
      <c r="F99" s="102">
        <v>28.18</v>
      </c>
    </row>
    <row r="100" spans="1:6" ht="15">
      <c r="A100" s="384"/>
      <c r="B100" s="384"/>
      <c r="C100" s="384"/>
      <c r="D100" s="384"/>
      <c r="E100" s="384"/>
      <c r="F100" s="384"/>
    </row>
    <row r="101" spans="1:6" ht="15">
      <c r="A101" s="101">
        <v>388</v>
      </c>
      <c r="B101" s="101">
        <v>355</v>
      </c>
      <c r="C101" s="101">
        <v>14.13</v>
      </c>
      <c r="D101" s="101">
        <v>14.35</v>
      </c>
      <c r="E101" s="101">
        <v>23.55</v>
      </c>
      <c r="F101" s="102">
        <v>28.26</v>
      </c>
    </row>
    <row r="102" spans="1:6" ht="15">
      <c r="A102" s="384"/>
      <c r="B102" s="384"/>
      <c r="C102" s="384"/>
      <c r="D102" s="384"/>
      <c r="E102" s="384"/>
      <c r="F102" s="384"/>
    </row>
    <row r="103" spans="1:6" ht="15">
      <c r="A103" s="101">
        <v>389</v>
      </c>
      <c r="B103" s="101">
        <v>356</v>
      </c>
      <c r="C103" s="101">
        <v>14.16</v>
      </c>
      <c r="D103" s="101">
        <v>14.39</v>
      </c>
      <c r="E103" s="101">
        <v>23.6</v>
      </c>
      <c r="F103" s="102">
        <v>28.32</v>
      </c>
    </row>
    <row r="104" spans="1:6" ht="15">
      <c r="A104" s="384"/>
      <c r="B104" s="384"/>
      <c r="C104" s="384"/>
      <c r="D104" s="384"/>
      <c r="E104" s="384"/>
      <c r="F104" s="384"/>
    </row>
    <row r="105" spans="1:6" ht="15">
      <c r="A105" s="101">
        <v>390</v>
      </c>
      <c r="B105" s="101">
        <v>357</v>
      </c>
      <c r="C105" s="101">
        <v>14.2</v>
      </c>
      <c r="D105" s="101">
        <v>14.43</v>
      </c>
      <c r="E105" s="101">
        <v>23.67</v>
      </c>
      <c r="F105" s="102">
        <v>28.4</v>
      </c>
    </row>
    <row r="106" spans="1:6" ht="15">
      <c r="A106" s="384"/>
      <c r="B106" s="384"/>
      <c r="C106" s="384"/>
      <c r="D106" s="384"/>
      <c r="E106" s="384"/>
      <c r="F106" s="384"/>
    </row>
    <row r="107" spans="1:6" ht="15">
      <c r="A107" s="101">
        <v>391</v>
      </c>
      <c r="B107" s="101">
        <v>357</v>
      </c>
      <c r="C107" s="101">
        <v>14.2</v>
      </c>
      <c r="D107" s="101">
        <v>14.43</v>
      </c>
      <c r="E107" s="101">
        <v>23.67</v>
      </c>
      <c r="F107" s="102">
        <v>28.4</v>
      </c>
    </row>
    <row r="108" spans="1:6" ht="15">
      <c r="A108" s="384"/>
      <c r="B108" s="384"/>
      <c r="C108" s="384"/>
      <c r="D108" s="384"/>
      <c r="E108" s="384"/>
      <c r="F108" s="384"/>
    </row>
    <row r="109" spans="1:6" ht="15">
      <c r="A109" s="101">
        <v>392</v>
      </c>
      <c r="B109" s="101">
        <v>357</v>
      </c>
      <c r="C109" s="101">
        <v>14.2</v>
      </c>
      <c r="D109" s="101">
        <v>14.43</v>
      </c>
      <c r="E109" s="101">
        <v>23.67</v>
      </c>
      <c r="F109" s="102">
        <v>28.4</v>
      </c>
    </row>
    <row r="110" spans="1:6" ht="15">
      <c r="A110" s="384"/>
      <c r="B110" s="384"/>
      <c r="C110" s="384"/>
      <c r="D110" s="384"/>
      <c r="E110" s="384"/>
      <c r="F110" s="384"/>
    </row>
    <row r="111" spans="1:6" ht="15">
      <c r="A111" s="101">
        <v>393</v>
      </c>
      <c r="B111" s="101">
        <v>358</v>
      </c>
      <c r="C111" s="101">
        <v>14.24</v>
      </c>
      <c r="D111" s="101">
        <v>14.47</v>
      </c>
      <c r="E111" s="101">
        <v>23.73</v>
      </c>
      <c r="F111" s="102">
        <v>28.48</v>
      </c>
    </row>
    <row r="112" spans="1:6" ht="15">
      <c r="A112" s="384"/>
      <c r="B112" s="384"/>
      <c r="C112" s="384"/>
      <c r="D112" s="384"/>
      <c r="E112" s="384"/>
      <c r="F112" s="384"/>
    </row>
    <row r="113" spans="1:6" ht="15">
      <c r="A113" s="101">
        <v>394</v>
      </c>
      <c r="B113" s="101">
        <v>359</v>
      </c>
      <c r="C113" s="101">
        <v>14.28</v>
      </c>
      <c r="D113" s="101">
        <v>14.5</v>
      </c>
      <c r="E113" s="101">
        <v>23.8</v>
      </c>
      <c r="F113" s="102">
        <v>28.56</v>
      </c>
    </row>
    <row r="114" spans="1:6" ht="15">
      <c r="A114" s="384"/>
      <c r="B114" s="384"/>
      <c r="C114" s="384"/>
      <c r="D114" s="384"/>
      <c r="E114" s="384"/>
      <c r="F114" s="384"/>
    </row>
    <row r="115" spans="1:6" ht="15">
      <c r="A115" s="101">
        <v>395</v>
      </c>
      <c r="B115" s="101">
        <v>359</v>
      </c>
      <c r="C115" s="101">
        <v>14.28</v>
      </c>
      <c r="D115" s="101">
        <v>14.5</v>
      </c>
      <c r="E115" s="101">
        <v>23.8</v>
      </c>
      <c r="F115" s="102">
        <v>28.56</v>
      </c>
    </row>
    <row r="116" spans="1:6" ht="15">
      <c r="A116" s="384"/>
      <c r="B116" s="384"/>
      <c r="C116" s="384"/>
      <c r="D116" s="384"/>
      <c r="E116" s="384"/>
      <c r="F116" s="384"/>
    </row>
    <row r="117" spans="1:6" ht="15">
      <c r="A117" s="101">
        <v>396</v>
      </c>
      <c r="B117" s="101">
        <v>360</v>
      </c>
      <c r="C117" s="101">
        <v>14.33</v>
      </c>
      <c r="D117" s="101">
        <v>14.55</v>
      </c>
      <c r="E117" s="101">
        <v>23.88</v>
      </c>
      <c r="F117" s="102">
        <v>28.66</v>
      </c>
    </row>
    <row r="118" spans="1:6" ht="15">
      <c r="A118" s="384"/>
      <c r="B118" s="384"/>
      <c r="C118" s="384"/>
      <c r="D118" s="384"/>
      <c r="E118" s="384"/>
      <c r="F118" s="384"/>
    </row>
    <row r="119" spans="1:6" ht="15">
      <c r="A119" s="101">
        <v>397</v>
      </c>
      <c r="B119" s="101">
        <v>361</v>
      </c>
      <c r="C119" s="101">
        <v>14.36</v>
      </c>
      <c r="D119" s="101">
        <v>14.59</v>
      </c>
      <c r="E119" s="101">
        <v>23.93</v>
      </c>
      <c r="F119" s="102">
        <v>28.72</v>
      </c>
    </row>
    <row r="120" spans="1:6" ht="15">
      <c r="A120" s="384"/>
      <c r="B120" s="384"/>
      <c r="C120" s="384"/>
      <c r="D120" s="384"/>
      <c r="E120" s="384"/>
      <c r="F120" s="384"/>
    </row>
    <row r="121" spans="1:6" ht="15">
      <c r="A121" s="101">
        <v>398</v>
      </c>
      <c r="B121" s="101">
        <v>362</v>
      </c>
      <c r="C121" s="101">
        <v>14.4</v>
      </c>
      <c r="D121" s="101">
        <v>14.63</v>
      </c>
      <c r="E121" s="101">
        <v>24</v>
      </c>
      <c r="F121" s="102">
        <v>28.8</v>
      </c>
    </row>
    <row r="122" spans="1:6" ht="15">
      <c r="A122" s="384"/>
      <c r="B122" s="384"/>
      <c r="C122" s="384"/>
      <c r="D122" s="384"/>
      <c r="E122" s="384"/>
      <c r="F122" s="384"/>
    </row>
    <row r="123" spans="1:6" ht="15">
      <c r="A123" s="101">
        <v>399</v>
      </c>
      <c r="B123" s="101">
        <v>362</v>
      </c>
      <c r="C123" s="101">
        <v>14.4</v>
      </c>
      <c r="D123" s="101">
        <v>14.63</v>
      </c>
      <c r="E123" s="101">
        <v>24</v>
      </c>
      <c r="F123" s="102">
        <v>28.8</v>
      </c>
    </row>
    <row r="124" spans="1:6" ht="15">
      <c r="A124" s="384"/>
      <c r="B124" s="384"/>
      <c r="C124" s="384"/>
      <c r="D124" s="384"/>
      <c r="E124" s="384"/>
      <c r="F124" s="384"/>
    </row>
    <row r="125" spans="1:6" ht="15">
      <c r="A125" s="101">
        <v>400</v>
      </c>
      <c r="B125" s="101">
        <v>363</v>
      </c>
      <c r="C125" s="101">
        <v>14.44</v>
      </c>
      <c r="D125" s="101">
        <v>14.67</v>
      </c>
      <c r="E125" s="101">
        <v>24.07</v>
      </c>
      <c r="F125" s="102">
        <v>28.88</v>
      </c>
    </row>
    <row r="126" spans="1:6" ht="15">
      <c r="A126" s="384"/>
      <c r="B126" s="384"/>
      <c r="C126" s="384"/>
      <c r="D126" s="384"/>
      <c r="E126" s="384"/>
      <c r="F126" s="384"/>
    </row>
    <row r="127" spans="1:6" ht="15">
      <c r="A127" s="101">
        <v>401</v>
      </c>
      <c r="B127" s="101">
        <v>363</v>
      </c>
      <c r="C127" s="101">
        <v>14.44</v>
      </c>
      <c r="D127" s="101">
        <v>14.67</v>
      </c>
      <c r="E127" s="101">
        <v>24.07</v>
      </c>
      <c r="F127" s="102">
        <v>28.88</v>
      </c>
    </row>
    <row r="128" spans="1:6" ht="15">
      <c r="A128" s="384"/>
      <c r="B128" s="384"/>
      <c r="C128" s="384"/>
      <c r="D128" s="384"/>
      <c r="E128" s="384"/>
      <c r="F128" s="384"/>
    </row>
    <row r="129" spans="1:6" ht="15">
      <c r="A129" s="101">
        <v>402</v>
      </c>
      <c r="B129" s="101">
        <v>364</v>
      </c>
      <c r="C129" s="101">
        <v>14.48</v>
      </c>
      <c r="D129" s="101">
        <v>14.71</v>
      </c>
      <c r="E129" s="101">
        <v>24.13</v>
      </c>
      <c r="F129" s="102">
        <v>28.96</v>
      </c>
    </row>
    <row r="130" spans="1:6" ht="15">
      <c r="A130" s="384"/>
      <c r="B130" s="384"/>
      <c r="C130" s="384"/>
      <c r="D130" s="384"/>
      <c r="E130" s="384"/>
      <c r="F130" s="384"/>
    </row>
    <row r="131" spans="1:6" ht="15">
      <c r="A131" s="101">
        <v>403</v>
      </c>
      <c r="B131" s="101">
        <v>364</v>
      </c>
      <c r="C131" s="101">
        <v>14.48</v>
      </c>
      <c r="D131" s="101">
        <v>14.71</v>
      </c>
      <c r="E131" s="101">
        <v>24.13</v>
      </c>
      <c r="F131" s="102">
        <v>28.96</v>
      </c>
    </row>
    <row r="132" spans="1:6" ht="15">
      <c r="A132" s="384"/>
      <c r="B132" s="384"/>
      <c r="C132" s="384"/>
      <c r="D132" s="384"/>
      <c r="E132" s="384"/>
      <c r="F132" s="384"/>
    </row>
    <row r="133" spans="1:6" ht="15">
      <c r="A133" s="101">
        <v>404</v>
      </c>
      <c r="B133" s="101">
        <v>365</v>
      </c>
      <c r="C133" s="101">
        <v>14.53</v>
      </c>
      <c r="D133" s="101">
        <v>14.76</v>
      </c>
      <c r="E133" s="101">
        <v>24.22</v>
      </c>
      <c r="F133" s="102">
        <v>29.06</v>
      </c>
    </row>
    <row r="134" spans="1:6" ht="15">
      <c r="A134" s="384"/>
      <c r="B134" s="384"/>
      <c r="C134" s="384"/>
      <c r="D134" s="384"/>
      <c r="E134" s="384"/>
      <c r="F134" s="384"/>
    </row>
    <row r="135" spans="1:6" ht="15">
      <c r="A135" s="101">
        <v>405</v>
      </c>
      <c r="B135" s="101">
        <v>366</v>
      </c>
      <c r="C135" s="101">
        <v>14.56</v>
      </c>
      <c r="D135" s="101">
        <v>14.8</v>
      </c>
      <c r="E135" s="101">
        <v>24.27</v>
      </c>
      <c r="F135" s="102">
        <v>29.12</v>
      </c>
    </row>
    <row r="136" spans="1:6" ht="15">
      <c r="A136" s="384"/>
      <c r="B136" s="384"/>
      <c r="C136" s="384"/>
      <c r="D136" s="384"/>
      <c r="E136" s="384"/>
      <c r="F136" s="384"/>
    </row>
    <row r="137" spans="1:6" ht="15">
      <c r="A137" s="101">
        <v>406</v>
      </c>
      <c r="B137" s="101">
        <v>366</v>
      </c>
      <c r="C137" s="101">
        <v>14.56</v>
      </c>
      <c r="D137" s="101">
        <v>14.8</v>
      </c>
      <c r="E137" s="101">
        <v>24.27</v>
      </c>
      <c r="F137" s="102">
        <v>29.12</v>
      </c>
    </row>
    <row r="138" spans="1:6" ht="15">
      <c r="A138" s="384"/>
      <c r="B138" s="384"/>
      <c r="C138" s="384"/>
      <c r="D138" s="384"/>
      <c r="E138" s="384"/>
      <c r="F138" s="384"/>
    </row>
    <row r="139" spans="1:6" ht="15">
      <c r="A139" s="101">
        <v>407</v>
      </c>
      <c r="B139" s="101">
        <v>367</v>
      </c>
      <c r="C139" s="101">
        <v>14.6</v>
      </c>
      <c r="D139" s="101">
        <v>14.83</v>
      </c>
      <c r="E139" s="101">
        <v>24.33</v>
      </c>
      <c r="F139" s="102">
        <v>29.2</v>
      </c>
    </row>
    <row r="140" spans="1:6" ht="15">
      <c r="A140" s="384"/>
      <c r="B140" s="384"/>
      <c r="C140" s="384"/>
      <c r="D140" s="384"/>
      <c r="E140" s="384"/>
      <c r="F140" s="384"/>
    </row>
    <row r="141" spans="1:6" ht="15">
      <c r="A141" s="101">
        <v>408</v>
      </c>
      <c r="B141" s="101">
        <v>367</v>
      </c>
      <c r="C141" s="101">
        <v>14.6</v>
      </c>
      <c r="D141" s="101">
        <v>14.83</v>
      </c>
      <c r="E141" s="101">
        <v>24.33</v>
      </c>
      <c r="F141" s="102">
        <v>29.2</v>
      </c>
    </row>
    <row r="142" spans="1:6" ht="15">
      <c r="A142" s="384"/>
      <c r="B142" s="384"/>
      <c r="C142" s="384"/>
      <c r="D142" s="384"/>
      <c r="E142" s="384"/>
      <c r="F142" s="384"/>
    </row>
    <row r="143" spans="1:6" ht="15">
      <c r="A143" s="101">
        <v>409</v>
      </c>
      <c r="B143" s="101">
        <v>368</v>
      </c>
      <c r="C143" s="101">
        <v>14.64</v>
      </c>
      <c r="D143" s="101">
        <v>14.87</v>
      </c>
      <c r="E143" s="101">
        <v>24.4</v>
      </c>
      <c r="F143" s="102">
        <v>29.28</v>
      </c>
    </row>
    <row r="144" spans="1:6" ht="15">
      <c r="A144" s="384"/>
      <c r="B144" s="384"/>
      <c r="C144" s="384"/>
      <c r="D144" s="384"/>
      <c r="E144" s="384"/>
      <c r="F144" s="384"/>
    </row>
    <row r="145" spans="1:6" ht="15">
      <c r="A145" s="101">
        <v>410</v>
      </c>
      <c r="B145" s="101">
        <v>368</v>
      </c>
      <c r="C145" s="101">
        <v>14.64</v>
      </c>
      <c r="D145" s="101">
        <v>14.87</v>
      </c>
      <c r="E145" s="101">
        <v>24.4</v>
      </c>
      <c r="F145" s="102">
        <v>29.28</v>
      </c>
    </row>
    <row r="146" spans="1:6" ht="15">
      <c r="A146" s="384"/>
      <c r="B146" s="384"/>
      <c r="C146" s="384"/>
      <c r="D146" s="384"/>
      <c r="E146" s="384"/>
      <c r="F146" s="384"/>
    </row>
    <row r="147" spans="1:6" ht="15">
      <c r="A147" s="101">
        <v>411</v>
      </c>
      <c r="B147" s="101">
        <v>368</v>
      </c>
      <c r="C147" s="101">
        <v>14.64</v>
      </c>
      <c r="D147" s="101">
        <v>14.87</v>
      </c>
      <c r="E147" s="101">
        <v>24.4</v>
      </c>
      <c r="F147" s="102">
        <v>29.28</v>
      </c>
    </row>
    <row r="148" spans="1:6" ht="15">
      <c r="A148" s="384"/>
      <c r="B148" s="384"/>
      <c r="C148" s="384"/>
      <c r="D148" s="384"/>
      <c r="E148" s="384"/>
      <c r="F148" s="384"/>
    </row>
    <row r="149" spans="1:6" ht="15">
      <c r="A149" s="101">
        <v>412</v>
      </c>
      <c r="B149" s="101">
        <v>368</v>
      </c>
      <c r="C149" s="101">
        <v>14.64</v>
      </c>
      <c r="D149" s="101">
        <v>14.87</v>
      </c>
      <c r="E149" s="101">
        <v>24.4</v>
      </c>
      <c r="F149" s="102">
        <v>29.28</v>
      </c>
    </row>
    <row r="150" spans="1:6" ht="15">
      <c r="A150" s="384"/>
      <c r="B150" s="384"/>
      <c r="C150" s="384"/>
      <c r="D150" s="384"/>
      <c r="E150" s="384"/>
      <c r="F150" s="384"/>
    </row>
    <row r="151" spans="1:6" ht="15">
      <c r="A151" s="101">
        <v>413</v>
      </c>
      <c r="B151" s="101">
        <v>369</v>
      </c>
      <c r="C151" s="101">
        <v>14.68</v>
      </c>
      <c r="D151" s="101">
        <v>14.91</v>
      </c>
      <c r="E151" s="101">
        <v>24.47</v>
      </c>
      <c r="F151" s="102">
        <v>29.36</v>
      </c>
    </row>
    <row r="152" spans="1:6" ht="15">
      <c r="A152" s="384"/>
      <c r="B152" s="384"/>
      <c r="C152" s="384"/>
      <c r="D152" s="384"/>
      <c r="E152" s="384"/>
      <c r="F152" s="384"/>
    </row>
    <row r="153" spans="1:6" ht="15">
      <c r="A153" s="101">
        <v>414</v>
      </c>
      <c r="B153" s="101">
        <v>369</v>
      </c>
      <c r="C153" s="101">
        <v>14.68</v>
      </c>
      <c r="D153" s="101">
        <v>14.91</v>
      </c>
      <c r="E153" s="101">
        <v>24.47</v>
      </c>
      <c r="F153" s="102">
        <v>29.36</v>
      </c>
    </row>
    <row r="154" spans="1:6" ht="15">
      <c r="A154" s="384"/>
      <c r="B154" s="384"/>
      <c r="C154" s="384"/>
      <c r="D154" s="384"/>
      <c r="E154" s="384"/>
      <c r="F154" s="384"/>
    </row>
    <row r="155" spans="1:6" ht="15">
      <c r="A155" s="101">
        <v>415</v>
      </c>
      <c r="B155" s="101">
        <v>369</v>
      </c>
      <c r="C155" s="101">
        <v>14.68</v>
      </c>
      <c r="D155" s="101">
        <v>14.91</v>
      </c>
      <c r="E155" s="101">
        <v>24.47</v>
      </c>
      <c r="F155" s="102">
        <v>29.36</v>
      </c>
    </row>
    <row r="156" spans="1:6" ht="15">
      <c r="A156" s="384"/>
      <c r="B156" s="384"/>
      <c r="C156" s="384"/>
      <c r="D156" s="384"/>
      <c r="E156" s="384"/>
      <c r="F156" s="384"/>
    </row>
    <row r="157" spans="1:6" ht="15">
      <c r="A157" s="101">
        <v>416</v>
      </c>
      <c r="B157" s="101">
        <v>370</v>
      </c>
      <c r="C157" s="101">
        <v>14.71</v>
      </c>
      <c r="D157" s="101">
        <v>14.95</v>
      </c>
      <c r="E157" s="101">
        <v>24.52</v>
      </c>
      <c r="F157" s="102">
        <v>29.42</v>
      </c>
    </row>
    <row r="158" spans="1:6" ht="15">
      <c r="A158" s="384"/>
      <c r="B158" s="384"/>
      <c r="C158" s="384"/>
      <c r="D158" s="384"/>
      <c r="E158" s="384"/>
      <c r="F158" s="384"/>
    </row>
    <row r="159" spans="1:6" ht="15">
      <c r="A159" s="101">
        <v>417</v>
      </c>
      <c r="B159" s="101">
        <v>371</v>
      </c>
      <c r="C159" s="101">
        <v>14.76</v>
      </c>
      <c r="D159" s="101">
        <v>15</v>
      </c>
      <c r="E159" s="101">
        <v>24.6</v>
      </c>
      <c r="F159" s="102">
        <v>29.52</v>
      </c>
    </row>
    <row r="160" spans="1:6" ht="15">
      <c r="A160" s="384"/>
      <c r="B160" s="384"/>
      <c r="C160" s="384"/>
      <c r="D160" s="384"/>
      <c r="E160" s="384"/>
      <c r="F160" s="384"/>
    </row>
    <row r="161" spans="1:6" ht="15">
      <c r="A161" s="101">
        <v>418</v>
      </c>
      <c r="B161" s="101">
        <v>371</v>
      </c>
      <c r="C161" s="101">
        <v>14.76</v>
      </c>
      <c r="D161" s="101">
        <v>15</v>
      </c>
      <c r="E161" s="101">
        <v>24.6</v>
      </c>
      <c r="F161" s="102">
        <v>29.52</v>
      </c>
    </row>
    <row r="162" spans="1:6" ht="15">
      <c r="A162" s="384"/>
      <c r="B162" s="384"/>
      <c r="C162" s="384"/>
      <c r="D162" s="384"/>
      <c r="E162" s="384"/>
      <c r="F162" s="384"/>
    </row>
    <row r="163" spans="1:6" ht="15">
      <c r="A163" s="101">
        <v>419</v>
      </c>
      <c r="B163" s="101">
        <v>372</v>
      </c>
      <c r="C163" s="101">
        <v>14.8</v>
      </c>
      <c r="D163" s="101">
        <v>15.04</v>
      </c>
      <c r="E163" s="101">
        <v>24.67</v>
      </c>
      <c r="F163" s="102">
        <v>29.6</v>
      </c>
    </row>
    <row r="164" spans="1:6" ht="15">
      <c r="A164" s="384"/>
      <c r="B164" s="384"/>
      <c r="C164" s="384"/>
      <c r="D164" s="384"/>
      <c r="E164" s="384"/>
      <c r="F164" s="384"/>
    </row>
    <row r="165" spans="1:6" ht="15">
      <c r="A165" s="101">
        <v>420</v>
      </c>
      <c r="B165" s="101">
        <v>373</v>
      </c>
      <c r="C165" s="101">
        <v>14.84</v>
      </c>
      <c r="D165" s="101">
        <v>15.07</v>
      </c>
      <c r="E165" s="101">
        <v>24.73</v>
      </c>
      <c r="F165" s="102">
        <v>29.68</v>
      </c>
    </row>
    <row r="166" spans="1:6" ht="15">
      <c r="A166" s="384"/>
      <c r="B166" s="384"/>
      <c r="C166" s="384"/>
      <c r="D166" s="384"/>
      <c r="E166" s="384"/>
      <c r="F166" s="384"/>
    </row>
    <row r="167" spans="1:6" ht="15">
      <c r="A167" s="101">
        <v>421</v>
      </c>
      <c r="B167" s="101">
        <v>374</v>
      </c>
      <c r="C167" s="101">
        <v>14.88</v>
      </c>
      <c r="D167" s="101">
        <v>15.11</v>
      </c>
      <c r="E167" s="101">
        <v>24.8</v>
      </c>
      <c r="F167" s="102">
        <v>29.76</v>
      </c>
    </row>
    <row r="168" spans="1:6" ht="15">
      <c r="A168" s="384"/>
      <c r="B168" s="384"/>
      <c r="C168" s="384"/>
      <c r="D168" s="384"/>
      <c r="E168" s="384"/>
      <c r="F168" s="384"/>
    </row>
    <row r="169" spans="1:6" ht="15">
      <c r="A169" s="101">
        <v>422</v>
      </c>
      <c r="B169" s="101">
        <v>375</v>
      </c>
      <c r="C169" s="101">
        <v>14.91</v>
      </c>
      <c r="D169" s="101">
        <v>15.15</v>
      </c>
      <c r="E169" s="101">
        <v>24.85</v>
      </c>
      <c r="F169" s="102">
        <v>29.82</v>
      </c>
    </row>
    <row r="170" spans="1:6" ht="15">
      <c r="A170" s="384"/>
      <c r="B170" s="384"/>
      <c r="C170" s="384"/>
      <c r="D170" s="384"/>
      <c r="E170" s="384"/>
      <c r="F170" s="384"/>
    </row>
    <row r="171" spans="1:6" ht="15">
      <c r="A171" s="101">
        <v>423</v>
      </c>
      <c r="B171" s="101">
        <v>376</v>
      </c>
      <c r="C171" s="101">
        <v>14.96</v>
      </c>
      <c r="D171" s="101">
        <v>15.2</v>
      </c>
      <c r="E171" s="101">
        <v>24.93</v>
      </c>
      <c r="F171" s="102">
        <v>29.92</v>
      </c>
    </row>
    <row r="172" spans="1:6" ht="15">
      <c r="A172" s="384"/>
      <c r="B172" s="384"/>
      <c r="C172" s="384"/>
      <c r="D172" s="384"/>
      <c r="E172" s="384"/>
      <c r="F172" s="384"/>
    </row>
    <row r="173" spans="1:6" ht="15">
      <c r="A173" s="101">
        <v>424</v>
      </c>
      <c r="B173" s="101">
        <v>377</v>
      </c>
      <c r="C173" s="101">
        <v>15</v>
      </c>
      <c r="D173" s="101">
        <v>15.24</v>
      </c>
      <c r="E173" s="101">
        <v>25</v>
      </c>
      <c r="F173" s="102">
        <v>30</v>
      </c>
    </row>
    <row r="174" spans="1:6" ht="15">
      <c r="A174" s="384"/>
      <c r="B174" s="384"/>
      <c r="C174" s="384"/>
      <c r="D174" s="384"/>
      <c r="E174" s="384"/>
      <c r="F174" s="384"/>
    </row>
    <row r="175" spans="1:6" ht="15">
      <c r="A175" s="101">
        <v>425</v>
      </c>
      <c r="B175" s="101">
        <v>377</v>
      </c>
      <c r="C175" s="101">
        <v>15</v>
      </c>
      <c r="D175" s="101">
        <v>15.24</v>
      </c>
      <c r="E175" s="101">
        <v>25</v>
      </c>
      <c r="F175" s="102">
        <v>30</v>
      </c>
    </row>
    <row r="176" spans="1:6" ht="15">
      <c r="A176" s="384"/>
      <c r="B176" s="384"/>
      <c r="C176" s="384"/>
      <c r="D176" s="384"/>
      <c r="E176" s="384"/>
      <c r="F176" s="384"/>
    </row>
    <row r="177" spans="1:6" ht="15">
      <c r="A177" s="101">
        <v>426</v>
      </c>
      <c r="B177" s="101">
        <v>378</v>
      </c>
      <c r="C177" s="101">
        <v>15.04</v>
      </c>
      <c r="D177" s="101">
        <v>15.28</v>
      </c>
      <c r="E177" s="101">
        <v>25.07</v>
      </c>
      <c r="F177" s="102">
        <v>30.08</v>
      </c>
    </row>
    <row r="178" spans="1:6" ht="15">
      <c r="A178" s="384"/>
      <c r="B178" s="384"/>
      <c r="C178" s="384"/>
      <c r="D178" s="384"/>
      <c r="E178" s="384"/>
      <c r="F178" s="384"/>
    </row>
    <row r="179" spans="1:6" ht="15">
      <c r="A179" s="101">
        <v>427</v>
      </c>
      <c r="B179" s="101">
        <v>379</v>
      </c>
      <c r="C179" s="101">
        <v>15.08</v>
      </c>
      <c r="D179" s="101">
        <v>15.32</v>
      </c>
      <c r="E179" s="101">
        <v>25.13</v>
      </c>
      <c r="F179" s="102">
        <v>30.16</v>
      </c>
    </row>
    <row r="180" spans="1:6" ht="15">
      <c r="A180" s="384"/>
      <c r="B180" s="384"/>
      <c r="C180" s="384"/>
      <c r="D180" s="384"/>
      <c r="E180" s="384"/>
      <c r="F180" s="384"/>
    </row>
    <row r="181" spans="1:6" ht="15">
      <c r="A181" s="101">
        <v>428</v>
      </c>
      <c r="B181" s="101">
        <v>379</v>
      </c>
      <c r="C181" s="101">
        <v>15.08</v>
      </c>
      <c r="D181" s="101">
        <v>15.32</v>
      </c>
      <c r="E181" s="101">
        <v>25.13</v>
      </c>
      <c r="F181" s="102">
        <v>30.16</v>
      </c>
    </row>
    <row r="182" spans="1:6" ht="15">
      <c r="A182" s="384"/>
      <c r="B182" s="384"/>
      <c r="C182" s="384"/>
      <c r="D182" s="384"/>
      <c r="E182" s="384"/>
      <c r="F182" s="384"/>
    </row>
    <row r="183" spans="1:6" ht="15">
      <c r="A183" s="101">
        <v>429</v>
      </c>
      <c r="B183" s="101">
        <v>379</v>
      </c>
      <c r="C183" s="101">
        <v>15.08</v>
      </c>
      <c r="D183" s="101">
        <v>15.32</v>
      </c>
      <c r="E183" s="101">
        <v>25.13</v>
      </c>
      <c r="F183" s="102">
        <v>30.16</v>
      </c>
    </row>
    <row r="184" spans="1:6" ht="15">
      <c r="A184" s="384"/>
      <c r="B184" s="384"/>
      <c r="C184" s="384"/>
      <c r="D184" s="384"/>
      <c r="E184" s="384"/>
      <c r="F184" s="384"/>
    </row>
    <row r="185" spans="1:6" ht="15">
      <c r="A185" s="101">
        <v>430</v>
      </c>
      <c r="B185" s="101">
        <v>380</v>
      </c>
      <c r="C185" s="101">
        <v>15.11</v>
      </c>
      <c r="D185" s="101">
        <v>15.35</v>
      </c>
      <c r="E185" s="101">
        <v>25.18</v>
      </c>
      <c r="F185" s="102">
        <v>30.22</v>
      </c>
    </row>
    <row r="186" spans="1:6" ht="15">
      <c r="A186" s="384"/>
      <c r="B186" s="384"/>
      <c r="C186" s="384"/>
      <c r="D186" s="384"/>
      <c r="E186" s="384"/>
      <c r="F186" s="384"/>
    </row>
    <row r="187" spans="1:6" ht="15">
      <c r="A187" s="101">
        <v>431</v>
      </c>
      <c r="B187" s="101">
        <v>381</v>
      </c>
      <c r="C187" s="101">
        <v>15.15</v>
      </c>
      <c r="D187" s="101">
        <v>15.39</v>
      </c>
      <c r="E187" s="101">
        <v>25.25</v>
      </c>
      <c r="F187" s="102">
        <v>30.3</v>
      </c>
    </row>
    <row r="188" spans="1:6" ht="15">
      <c r="A188" s="384"/>
      <c r="B188" s="384"/>
      <c r="C188" s="384"/>
      <c r="D188" s="384"/>
      <c r="E188" s="384"/>
      <c r="F188" s="384"/>
    </row>
    <row r="189" spans="1:6" ht="15">
      <c r="A189" s="101">
        <v>432</v>
      </c>
      <c r="B189" s="101">
        <v>382</v>
      </c>
      <c r="C189" s="101">
        <v>15.2</v>
      </c>
      <c r="D189" s="101">
        <v>15.44</v>
      </c>
      <c r="E189" s="101">
        <v>25.33</v>
      </c>
      <c r="F189" s="102">
        <v>30.4</v>
      </c>
    </row>
    <row r="190" spans="1:6" ht="15">
      <c r="A190" s="384"/>
      <c r="B190" s="384"/>
      <c r="C190" s="384"/>
      <c r="D190" s="384"/>
      <c r="E190" s="384"/>
      <c r="F190" s="384"/>
    </row>
    <row r="191" spans="1:6" ht="15">
      <c r="A191" s="101">
        <v>433</v>
      </c>
      <c r="B191" s="101">
        <v>382</v>
      </c>
      <c r="C191" s="101">
        <v>15.2</v>
      </c>
      <c r="D191" s="101">
        <v>15.44</v>
      </c>
      <c r="E191" s="101">
        <v>25.33</v>
      </c>
      <c r="F191" s="102">
        <v>30.4</v>
      </c>
    </row>
    <row r="192" spans="1:6" ht="15">
      <c r="A192" s="384"/>
      <c r="B192" s="384"/>
      <c r="C192" s="384"/>
      <c r="D192" s="384"/>
      <c r="E192" s="384"/>
      <c r="F192" s="384"/>
    </row>
    <row r="193" spans="1:6" ht="15">
      <c r="A193" s="101">
        <v>434</v>
      </c>
      <c r="B193" s="101">
        <v>383</v>
      </c>
      <c r="C193" s="101">
        <v>15.24</v>
      </c>
      <c r="D193" s="101">
        <v>15.48</v>
      </c>
      <c r="E193" s="101">
        <v>25.4</v>
      </c>
      <c r="F193" s="102">
        <v>30.48</v>
      </c>
    </row>
    <row r="194" spans="1:6" ht="15">
      <c r="A194" s="384"/>
      <c r="B194" s="384"/>
      <c r="C194" s="384"/>
      <c r="D194" s="384"/>
      <c r="E194" s="384"/>
      <c r="F194" s="384"/>
    </row>
    <row r="195" spans="1:6" ht="15">
      <c r="A195" s="101">
        <v>435</v>
      </c>
      <c r="B195" s="101">
        <v>384</v>
      </c>
      <c r="C195" s="101">
        <v>15.28</v>
      </c>
      <c r="D195" s="101">
        <v>15.52</v>
      </c>
      <c r="E195" s="101">
        <v>25.47</v>
      </c>
      <c r="F195" s="102">
        <v>30.56</v>
      </c>
    </row>
    <row r="196" spans="1:6" ht="15">
      <c r="A196" s="384"/>
      <c r="B196" s="384"/>
      <c r="C196" s="384"/>
      <c r="D196" s="384"/>
      <c r="E196" s="384"/>
      <c r="F196" s="384"/>
    </row>
    <row r="197" spans="1:6" ht="15">
      <c r="A197" s="101">
        <v>436</v>
      </c>
      <c r="B197" s="101">
        <v>384</v>
      </c>
      <c r="C197" s="101">
        <v>15.28</v>
      </c>
      <c r="D197" s="101">
        <v>15.52</v>
      </c>
      <c r="E197" s="101">
        <v>25.47</v>
      </c>
      <c r="F197" s="102">
        <v>30.56</v>
      </c>
    </row>
    <row r="198" spans="1:6" ht="15">
      <c r="A198" s="384"/>
      <c r="B198" s="384"/>
      <c r="C198" s="384"/>
      <c r="D198" s="384"/>
      <c r="E198" s="384"/>
      <c r="F198" s="384"/>
    </row>
    <row r="199" spans="1:6" ht="15">
      <c r="A199" s="101">
        <v>437</v>
      </c>
      <c r="B199" s="101">
        <v>385</v>
      </c>
      <c r="C199" s="101">
        <v>15.31</v>
      </c>
      <c r="D199" s="101">
        <v>15.56</v>
      </c>
      <c r="E199" s="101">
        <v>25.52</v>
      </c>
      <c r="F199" s="102">
        <v>30.62</v>
      </c>
    </row>
    <row r="200" spans="1:6" ht="15">
      <c r="A200" s="384"/>
      <c r="B200" s="384"/>
      <c r="C200" s="384"/>
      <c r="D200" s="384"/>
      <c r="E200" s="384"/>
      <c r="F200" s="384"/>
    </row>
    <row r="201" spans="1:6" ht="15">
      <c r="A201" s="101">
        <v>438</v>
      </c>
      <c r="B201" s="101">
        <v>386</v>
      </c>
      <c r="C201" s="101">
        <v>15.35</v>
      </c>
      <c r="D201" s="101">
        <v>15.6</v>
      </c>
      <c r="E201" s="101">
        <v>25.58</v>
      </c>
      <c r="F201" s="102">
        <v>30.7</v>
      </c>
    </row>
    <row r="202" spans="1:6" ht="15">
      <c r="A202" s="384"/>
      <c r="B202" s="384"/>
      <c r="C202" s="384"/>
      <c r="D202" s="384"/>
      <c r="E202" s="384"/>
      <c r="F202" s="384"/>
    </row>
    <row r="203" spans="1:6" ht="15">
      <c r="A203" s="101">
        <v>439</v>
      </c>
      <c r="B203" s="101">
        <v>387</v>
      </c>
      <c r="C203" s="101">
        <v>15.4</v>
      </c>
      <c r="D203" s="101">
        <v>15.65</v>
      </c>
      <c r="E203" s="101">
        <v>25.67</v>
      </c>
      <c r="F203" s="102">
        <v>30.8</v>
      </c>
    </row>
    <row r="204" spans="1:6" ht="15">
      <c r="A204" s="384"/>
      <c r="B204" s="384"/>
      <c r="C204" s="384"/>
      <c r="D204" s="384"/>
      <c r="E204" s="384"/>
      <c r="F204" s="384"/>
    </row>
    <row r="205" spans="1:6" ht="15">
      <c r="A205" s="101">
        <v>440</v>
      </c>
      <c r="B205" s="101">
        <v>387</v>
      </c>
      <c r="C205" s="101">
        <v>15.4</v>
      </c>
      <c r="D205" s="101">
        <v>15.65</v>
      </c>
      <c r="E205" s="101">
        <v>25.67</v>
      </c>
      <c r="F205" s="102">
        <v>30.8</v>
      </c>
    </row>
    <row r="206" spans="1:6" ht="15">
      <c r="A206" s="384"/>
      <c r="B206" s="384"/>
      <c r="C206" s="384"/>
      <c r="D206" s="384"/>
      <c r="E206" s="384"/>
      <c r="F206" s="384"/>
    </row>
    <row r="207" spans="1:6" ht="15">
      <c r="A207" s="101">
        <v>441</v>
      </c>
      <c r="B207" s="101">
        <v>388</v>
      </c>
      <c r="C207" s="101">
        <v>15.44</v>
      </c>
      <c r="D207" s="101">
        <v>15.68</v>
      </c>
      <c r="E207" s="101">
        <v>25.73</v>
      </c>
      <c r="F207" s="102">
        <v>30.88</v>
      </c>
    </row>
    <row r="208" spans="1:6" ht="15">
      <c r="A208" s="384"/>
      <c r="B208" s="384"/>
      <c r="C208" s="384"/>
      <c r="D208" s="384"/>
      <c r="E208" s="384"/>
      <c r="F208" s="384"/>
    </row>
    <row r="209" spans="1:6" ht="15">
      <c r="A209" s="101">
        <v>442</v>
      </c>
      <c r="B209" s="101">
        <v>389</v>
      </c>
      <c r="C209" s="101">
        <v>15.48</v>
      </c>
      <c r="D209" s="101">
        <v>15.72</v>
      </c>
      <c r="E209" s="101">
        <v>25.8</v>
      </c>
      <c r="F209" s="102">
        <v>30.96</v>
      </c>
    </row>
    <row r="210" spans="1:6" ht="15">
      <c r="A210" s="384"/>
      <c r="B210" s="384"/>
      <c r="C210" s="384"/>
      <c r="D210" s="384"/>
      <c r="E210" s="384"/>
      <c r="F210" s="384"/>
    </row>
    <row r="211" spans="1:6" ht="15">
      <c r="A211" s="101">
        <v>443</v>
      </c>
      <c r="B211" s="101">
        <v>390</v>
      </c>
      <c r="C211" s="101">
        <v>15.51</v>
      </c>
      <c r="D211" s="101">
        <v>15.76</v>
      </c>
      <c r="E211" s="101">
        <v>25.85</v>
      </c>
      <c r="F211" s="102">
        <v>31.02</v>
      </c>
    </row>
    <row r="212" spans="1:6" ht="15">
      <c r="A212" s="384"/>
      <c r="B212" s="384"/>
      <c r="C212" s="384"/>
      <c r="D212" s="384"/>
      <c r="E212" s="384"/>
      <c r="F212" s="384"/>
    </row>
    <row r="213" spans="1:6" ht="15">
      <c r="A213" s="101">
        <v>444</v>
      </c>
      <c r="B213" s="101">
        <v>390</v>
      </c>
      <c r="C213" s="101">
        <v>15.51</v>
      </c>
      <c r="D213" s="101">
        <v>15.76</v>
      </c>
      <c r="E213" s="101">
        <v>25.85</v>
      </c>
      <c r="F213" s="102">
        <v>31.02</v>
      </c>
    </row>
    <row r="214" spans="1:6" ht="15">
      <c r="A214" s="384"/>
      <c r="B214" s="384"/>
      <c r="C214" s="384"/>
      <c r="D214" s="384"/>
      <c r="E214" s="384"/>
      <c r="F214" s="384"/>
    </row>
    <row r="215" spans="1:6" ht="15">
      <c r="A215" s="101">
        <v>445</v>
      </c>
      <c r="B215" s="101">
        <v>391</v>
      </c>
      <c r="C215" s="101">
        <v>15.55</v>
      </c>
      <c r="D215" s="101">
        <v>15.8</v>
      </c>
      <c r="E215" s="101">
        <v>25.92</v>
      </c>
      <c r="F215" s="102">
        <v>31.1</v>
      </c>
    </row>
    <row r="216" spans="1:6" ht="15">
      <c r="A216" s="384"/>
      <c r="B216" s="384"/>
      <c r="C216" s="384"/>
      <c r="D216" s="384"/>
      <c r="E216" s="384"/>
      <c r="F216" s="384"/>
    </row>
    <row r="217" spans="1:6" ht="15">
      <c r="A217" s="101">
        <v>446</v>
      </c>
      <c r="B217" s="101">
        <v>392</v>
      </c>
      <c r="C217" s="101">
        <v>15.59</v>
      </c>
      <c r="D217" s="101">
        <v>15.84</v>
      </c>
      <c r="E217" s="101">
        <v>25.98</v>
      </c>
      <c r="F217" s="102">
        <v>31.18</v>
      </c>
    </row>
    <row r="218" spans="1:6" ht="15">
      <c r="A218" s="384"/>
      <c r="B218" s="384"/>
      <c r="C218" s="384"/>
      <c r="D218" s="384"/>
      <c r="E218" s="384"/>
      <c r="F218" s="384"/>
    </row>
    <row r="219" spans="1:6" ht="15">
      <c r="A219" s="101">
        <v>447</v>
      </c>
      <c r="B219" s="101">
        <v>393</v>
      </c>
      <c r="C219" s="101">
        <v>15.64</v>
      </c>
      <c r="D219" s="101">
        <v>15.89</v>
      </c>
      <c r="E219" s="101">
        <v>26.07</v>
      </c>
      <c r="F219" s="102">
        <v>31.28</v>
      </c>
    </row>
    <row r="220" spans="1:6" ht="15">
      <c r="A220" s="384"/>
      <c r="B220" s="384"/>
      <c r="C220" s="384"/>
      <c r="D220" s="384"/>
      <c r="E220" s="384"/>
      <c r="F220" s="384"/>
    </row>
    <row r="221" spans="1:6" ht="15">
      <c r="A221" s="101">
        <v>448</v>
      </c>
      <c r="B221" s="101">
        <v>393</v>
      </c>
      <c r="C221" s="101">
        <v>15.64</v>
      </c>
      <c r="D221" s="101">
        <v>15.89</v>
      </c>
      <c r="E221" s="101">
        <v>26.07</v>
      </c>
      <c r="F221" s="102">
        <v>31.28</v>
      </c>
    </row>
    <row r="222" spans="1:6" ht="15">
      <c r="A222" s="384"/>
      <c r="B222" s="384"/>
      <c r="C222" s="384"/>
      <c r="D222" s="384"/>
      <c r="E222" s="384"/>
      <c r="F222" s="384"/>
    </row>
    <row r="223" spans="1:6" ht="15">
      <c r="A223" s="101">
        <v>449</v>
      </c>
      <c r="B223" s="101">
        <v>394</v>
      </c>
      <c r="C223" s="101">
        <v>15.68</v>
      </c>
      <c r="D223" s="101">
        <v>15.93</v>
      </c>
      <c r="E223" s="101">
        <v>26.13</v>
      </c>
      <c r="F223" s="102">
        <v>31.36</v>
      </c>
    </row>
    <row r="224" spans="1:6" ht="15">
      <c r="A224" s="384"/>
      <c r="B224" s="384"/>
      <c r="C224" s="384"/>
      <c r="D224" s="384"/>
      <c r="E224" s="384"/>
      <c r="F224" s="384"/>
    </row>
    <row r="225" spans="1:6" ht="15">
      <c r="A225" s="101">
        <v>450</v>
      </c>
      <c r="B225" s="101">
        <v>395</v>
      </c>
      <c r="C225" s="101">
        <v>15.71</v>
      </c>
      <c r="D225" s="101">
        <v>15.96</v>
      </c>
      <c r="E225" s="101">
        <v>26.18</v>
      </c>
      <c r="F225" s="102">
        <v>31.42</v>
      </c>
    </row>
    <row r="226" spans="1:6" ht="15">
      <c r="A226" s="384"/>
      <c r="B226" s="384"/>
      <c r="C226" s="384"/>
      <c r="D226" s="384"/>
      <c r="E226" s="384"/>
      <c r="F226" s="384"/>
    </row>
    <row r="227" spans="1:6" ht="15">
      <c r="A227" s="101">
        <v>451</v>
      </c>
      <c r="B227" s="101">
        <v>396</v>
      </c>
      <c r="C227" s="101">
        <v>15.75</v>
      </c>
      <c r="D227" s="101">
        <v>16</v>
      </c>
      <c r="E227" s="101">
        <v>26.25</v>
      </c>
      <c r="F227" s="102">
        <v>31.5</v>
      </c>
    </row>
    <row r="228" spans="1:6" ht="15">
      <c r="A228" s="384"/>
      <c r="B228" s="384"/>
      <c r="C228" s="384"/>
      <c r="D228" s="384"/>
      <c r="E228" s="384"/>
      <c r="F228" s="384"/>
    </row>
    <row r="229" spans="1:6" ht="15">
      <c r="A229" s="101">
        <v>452</v>
      </c>
      <c r="B229" s="101">
        <v>396</v>
      </c>
      <c r="C229" s="101">
        <v>15.75</v>
      </c>
      <c r="D229" s="101">
        <v>16</v>
      </c>
      <c r="E229" s="101">
        <v>26.25</v>
      </c>
      <c r="F229" s="102">
        <v>31.5</v>
      </c>
    </row>
    <row r="230" spans="1:6" ht="15">
      <c r="A230" s="384"/>
      <c r="B230" s="384"/>
      <c r="C230" s="384"/>
      <c r="D230" s="384"/>
      <c r="E230" s="384"/>
      <c r="F230" s="384"/>
    </row>
    <row r="231" spans="1:6" ht="15">
      <c r="A231" s="101">
        <v>453</v>
      </c>
      <c r="B231" s="101">
        <v>397</v>
      </c>
      <c r="C231" s="101">
        <v>15.79</v>
      </c>
      <c r="D231" s="101">
        <v>16.04</v>
      </c>
      <c r="E231" s="101">
        <v>26.32</v>
      </c>
      <c r="F231" s="102">
        <v>31.58</v>
      </c>
    </row>
    <row r="232" spans="1:6" ht="15">
      <c r="A232" s="384"/>
      <c r="B232" s="384"/>
      <c r="C232" s="384"/>
      <c r="D232" s="384"/>
      <c r="E232" s="384"/>
      <c r="F232" s="384"/>
    </row>
    <row r="233" spans="1:6" ht="15">
      <c r="A233" s="101">
        <v>454</v>
      </c>
      <c r="B233" s="101">
        <v>398</v>
      </c>
      <c r="C233" s="101">
        <v>15.84</v>
      </c>
      <c r="D233" s="101">
        <v>16.09</v>
      </c>
      <c r="E233" s="101">
        <v>26.4</v>
      </c>
      <c r="F233" s="102">
        <v>31.68</v>
      </c>
    </row>
    <row r="234" spans="1:6" ht="15">
      <c r="A234" s="384"/>
      <c r="B234" s="384"/>
      <c r="C234" s="384"/>
      <c r="D234" s="384"/>
      <c r="E234" s="384"/>
      <c r="F234" s="384"/>
    </row>
    <row r="235" spans="1:6" ht="15">
      <c r="A235" s="101">
        <v>455</v>
      </c>
      <c r="B235" s="101">
        <v>398</v>
      </c>
      <c r="C235" s="101">
        <v>15.84</v>
      </c>
      <c r="D235" s="101">
        <v>16.09</v>
      </c>
      <c r="E235" s="101">
        <v>26.4</v>
      </c>
      <c r="F235" s="102">
        <v>31.68</v>
      </c>
    </row>
    <row r="236" spans="1:6" ht="15">
      <c r="A236" s="384"/>
      <c r="B236" s="384"/>
      <c r="C236" s="384"/>
      <c r="D236" s="384"/>
      <c r="E236" s="384"/>
      <c r="F236" s="384"/>
    </row>
    <row r="237" spans="1:6" ht="15">
      <c r="A237" s="101">
        <v>456</v>
      </c>
      <c r="B237" s="101">
        <v>399</v>
      </c>
      <c r="C237" s="101">
        <v>15.88</v>
      </c>
      <c r="D237" s="101">
        <v>16.13</v>
      </c>
      <c r="E237" s="101">
        <v>26.47</v>
      </c>
      <c r="F237" s="102">
        <v>31.76</v>
      </c>
    </row>
    <row r="238" spans="1:6" ht="15">
      <c r="A238" s="384"/>
      <c r="B238" s="384"/>
      <c r="C238" s="384"/>
      <c r="D238" s="384"/>
      <c r="E238" s="384"/>
      <c r="F238" s="384"/>
    </row>
    <row r="239" spans="1:6" ht="15">
      <c r="A239" s="101">
        <v>457</v>
      </c>
      <c r="B239" s="101">
        <v>400</v>
      </c>
      <c r="C239" s="101">
        <v>15.91</v>
      </c>
      <c r="D239" s="101">
        <v>16.17</v>
      </c>
      <c r="E239" s="101">
        <v>26.52</v>
      </c>
      <c r="F239" s="102">
        <v>31.82</v>
      </c>
    </row>
    <row r="240" spans="1:6" ht="15">
      <c r="A240" s="384"/>
      <c r="B240" s="384"/>
      <c r="C240" s="384"/>
      <c r="D240" s="384"/>
      <c r="E240" s="384"/>
      <c r="F240" s="384"/>
    </row>
    <row r="241" spans="1:6" ht="15">
      <c r="A241" s="101">
        <v>458</v>
      </c>
      <c r="B241" s="101">
        <v>401</v>
      </c>
      <c r="C241" s="101">
        <v>15.95</v>
      </c>
      <c r="D241" s="101">
        <v>16.21</v>
      </c>
      <c r="E241" s="101">
        <v>26.58</v>
      </c>
      <c r="F241" s="102">
        <v>31.9</v>
      </c>
    </row>
    <row r="242" spans="1:6" ht="15">
      <c r="A242" s="384"/>
      <c r="B242" s="384"/>
      <c r="C242" s="384"/>
      <c r="D242" s="384"/>
      <c r="E242" s="384"/>
      <c r="F242" s="384"/>
    </row>
    <row r="243" spans="1:6" ht="15">
      <c r="A243" s="101">
        <v>459</v>
      </c>
      <c r="B243" s="101">
        <v>402</v>
      </c>
      <c r="C243" s="101">
        <v>15.99</v>
      </c>
      <c r="D243" s="101">
        <v>16.24</v>
      </c>
      <c r="E243" s="101">
        <v>26.65</v>
      </c>
      <c r="F243" s="102">
        <v>31.98</v>
      </c>
    </row>
    <row r="244" spans="1:6" ht="15">
      <c r="A244" s="384"/>
      <c r="B244" s="384"/>
      <c r="C244" s="384"/>
      <c r="D244" s="384"/>
      <c r="E244" s="384"/>
      <c r="F244" s="384"/>
    </row>
    <row r="245" spans="1:6" ht="15">
      <c r="A245" s="101">
        <v>460</v>
      </c>
      <c r="B245" s="101">
        <v>403</v>
      </c>
      <c r="C245" s="101">
        <v>16.03</v>
      </c>
      <c r="D245" s="101">
        <v>16.28</v>
      </c>
      <c r="E245" s="101">
        <v>26.72</v>
      </c>
      <c r="F245" s="102">
        <v>32.06</v>
      </c>
    </row>
    <row r="246" spans="1:6" ht="15">
      <c r="A246" s="384"/>
      <c r="B246" s="384"/>
      <c r="C246" s="384"/>
      <c r="D246" s="384"/>
      <c r="E246" s="384"/>
      <c r="F246" s="384"/>
    </row>
    <row r="247" spans="1:6" ht="15">
      <c r="A247" s="101">
        <v>461</v>
      </c>
      <c r="B247" s="101">
        <v>404</v>
      </c>
      <c r="C247" s="101">
        <v>16.08</v>
      </c>
      <c r="D247" s="101">
        <v>16.33</v>
      </c>
      <c r="E247" s="101">
        <v>26.8</v>
      </c>
      <c r="F247" s="102">
        <v>32.16</v>
      </c>
    </row>
    <row r="248" spans="1:6" ht="15">
      <c r="A248" s="384"/>
      <c r="B248" s="384"/>
      <c r="C248" s="384"/>
      <c r="D248" s="384"/>
      <c r="E248" s="384"/>
      <c r="F248" s="384"/>
    </row>
    <row r="249" spans="1:6" ht="15">
      <c r="A249" s="101">
        <v>462</v>
      </c>
      <c r="B249" s="101">
        <v>405</v>
      </c>
      <c r="C249" s="101">
        <v>16.11</v>
      </c>
      <c r="D249" s="101">
        <v>16.37</v>
      </c>
      <c r="E249" s="101">
        <v>26.85</v>
      </c>
      <c r="F249" s="102">
        <v>32.22</v>
      </c>
    </row>
    <row r="250" spans="1:6" ht="15">
      <c r="A250" s="384"/>
      <c r="B250" s="384"/>
      <c r="C250" s="384"/>
      <c r="D250" s="384"/>
      <c r="E250" s="384"/>
      <c r="F250" s="384"/>
    </row>
    <row r="251" spans="1:6" ht="15">
      <c r="A251" s="101">
        <v>463</v>
      </c>
      <c r="B251" s="101">
        <v>405</v>
      </c>
      <c r="C251" s="101">
        <v>16.11</v>
      </c>
      <c r="D251" s="101">
        <v>16.37</v>
      </c>
      <c r="E251" s="101">
        <v>26.85</v>
      </c>
      <c r="F251" s="102">
        <v>32.22</v>
      </c>
    </row>
    <row r="252" spans="1:6" ht="15">
      <c r="A252" s="384"/>
      <c r="B252" s="384"/>
      <c r="C252" s="384"/>
      <c r="D252" s="384"/>
      <c r="E252" s="384"/>
      <c r="F252" s="384"/>
    </row>
    <row r="253" spans="1:6" ht="15">
      <c r="A253" s="101">
        <v>464</v>
      </c>
      <c r="B253" s="101">
        <v>406</v>
      </c>
      <c r="C253" s="101">
        <v>16.15</v>
      </c>
      <c r="D253" s="101">
        <v>16.41</v>
      </c>
      <c r="E253" s="101">
        <v>26.92</v>
      </c>
      <c r="F253" s="102">
        <v>32.3</v>
      </c>
    </row>
    <row r="254" spans="1:6" ht="15">
      <c r="A254" s="384"/>
      <c r="B254" s="384"/>
      <c r="C254" s="384"/>
      <c r="D254" s="384"/>
      <c r="E254" s="384"/>
      <c r="F254" s="384"/>
    </row>
    <row r="255" spans="1:6" ht="15">
      <c r="A255" s="101">
        <v>465</v>
      </c>
      <c r="B255" s="101">
        <v>407</v>
      </c>
      <c r="C255" s="101">
        <v>16.19</v>
      </c>
      <c r="D255" s="101">
        <v>16.45</v>
      </c>
      <c r="E255" s="101">
        <v>26.98</v>
      </c>
      <c r="F255" s="102">
        <v>32.38</v>
      </c>
    </row>
    <row r="256" spans="1:6" ht="15">
      <c r="A256" s="384"/>
      <c r="B256" s="384"/>
      <c r="C256" s="384"/>
      <c r="D256" s="384"/>
      <c r="E256" s="384"/>
      <c r="F256" s="384"/>
    </row>
    <row r="257" spans="1:6" ht="15">
      <c r="A257" s="101">
        <v>466</v>
      </c>
      <c r="B257" s="101">
        <v>408</v>
      </c>
      <c r="C257" s="101">
        <v>16.23</v>
      </c>
      <c r="D257" s="101">
        <v>16.48</v>
      </c>
      <c r="E257" s="101">
        <v>27.05</v>
      </c>
      <c r="F257" s="102">
        <v>32.46</v>
      </c>
    </row>
    <row r="258" spans="1:6" ht="15">
      <c r="A258" s="384"/>
      <c r="B258" s="384"/>
      <c r="C258" s="384"/>
      <c r="D258" s="384"/>
      <c r="E258" s="384"/>
      <c r="F258" s="384"/>
    </row>
    <row r="259" spans="1:6" ht="15">
      <c r="A259" s="101">
        <v>467</v>
      </c>
      <c r="B259" s="101">
        <v>408</v>
      </c>
      <c r="C259" s="101">
        <v>16.23</v>
      </c>
      <c r="D259" s="101">
        <v>16.48</v>
      </c>
      <c r="E259" s="101">
        <v>27.05</v>
      </c>
      <c r="F259" s="102">
        <v>32.46</v>
      </c>
    </row>
    <row r="260" spans="1:6" ht="15">
      <c r="A260" s="384"/>
      <c r="B260" s="384"/>
      <c r="C260" s="384"/>
      <c r="D260" s="384"/>
      <c r="E260" s="384"/>
      <c r="F260" s="384"/>
    </row>
    <row r="261" spans="1:6" ht="15">
      <c r="A261" s="101">
        <v>468</v>
      </c>
      <c r="B261" s="101">
        <v>409</v>
      </c>
      <c r="C261" s="101">
        <v>16.28</v>
      </c>
      <c r="D261" s="101">
        <v>16.54</v>
      </c>
      <c r="E261" s="101">
        <v>27.13</v>
      </c>
      <c r="F261" s="102">
        <v>32.56</v>
      </c>
    </row>
    <row r="262" spans="1:6" ht="15">
      <c r="A262" s="384"/>
      <c r="B262" s="384"/>
      <c r="C262" s="384"/>
      <c r="D262" s="384"/>
      <c r="E262" s="384"/>
      <c r="F262" s="384"/>
    </row>
    <row r="263" spans="1:6" ht="15">
      <c r="A263" s="101">
        <v>469</v>
      </c>
      <c r="B263" s="101">
        <v>410</v>
      </c>
      <c r="C263" s="101">
        <v>16.31</v>
      </c>
      <c r="D263" s="101">
        <v>16.57</v>
      </c>
      <c r="E263" s="101">
        <v>27.18</v>
      </c>
      <c r="F263" s="102">
        <v>32.62</v>
      </c>
    </row>
    <row r="264" spans="1:6" ht="15">
      <c r="A264" s="384"/>
      <c r="B264" s="384"/>
      <c r="C264" s="384"/>
      <c r="D264" s="384"/>
      <c r="E264" s="384"/>
      <c r="F264" s="384"/>
    </row>
    <row r="265" spans="1:6" ht="15">
      <c r="A265" s="101">
        <v>470</v>
      </c>
      <c r="B265" s="101">
        <v>411</v>
      </c>
      <c r="C265" s="101">
        <v>16.35</v>
      </c>
      <c r="D265" s="101">
        <v>16.61</v>
      </c>
      <c r="E265" s="101">
        <v>27.25</v>
      </c>
      <c r="F265" s="102">
        <v>32.7</v>
      </c>
    </row>
    <row r="266" spans="1:6" ht="15">
      <c r="A266" s="384"/>
      <c r="B266" s="384"/>
      <c r="C266" s="384"/>
      <c r="D266" s="384"/>
      <c r="E266" s="384"/>
      <c r="F266" s="384"/>
    </row>
    <row r="267" spans="1:6" ht="15">
      <c r="A267" s="101">
        <v>471</v>
      </c>
      <c r="B267" s="101">
        <v>411</v>
      </c>
      <c r="C267" s="101">
        <v>16.35</v>
      </c>
      <c r="D267" s="101">
        <v>16.61</v>
      </c>
      <c r="E267" s="101">
        <v>27.25</v>
      </c>
      <c r="F267" s="102">
        <v>32.7</v>
      </c>
    </row>
    <row r="268" spans="1:6" ht="15">
      <c r="A268" s="384"/>
      <c r="B268" s="384"/>
      <c r="C268" s="384"/>
      <c r="D268" s="384"/>
      <c r="E268" s="384"/>
      <c r="F268" s="384"/>
    </row>
    <row r="269" spans="1:6" ht="15">
      <c r="A269" s="101">
        <v>472</v>
      </c>
      <c r="B269" s="101">
        <v>412</v>
      </c>
      <c r="C269" s="101">
        <v>16.39</v>
      </c>
      <c r="D269" s="101">
        <v>16.65</v>
      </c>
      <c r="E269" s="101">
        <v>27.32</v>
      </c>
      <c r="F269" s="102">
        <v>32.78</v>
      </c>
    </row>
    <row r="270" spans="1:6" ht="15">
      <c r="A270" s="384"/>
      <c r="B270" s="384"/>
      <c r="C270" s="384"/>
      <c r="D270" s="384"/>
      <c r="E270" s="384"/>
      <c r="F270" s="384"/>
    </row>
    <row r="271" spans="1:6" ht="15">
      <c r="A271" s="101">
        <v>473</v>
      </c>
      <c r="B271" s="101">
        <v>412</v>
      </c>
      <c r="C271" s="101">
        <v>16.39</v>
      </c>
      <c r="D271" s="101">
        <v>16.65</v>
      </c>
      <c r="E271" s="101">
        <v>27.32</v>
      </c>
      <c r="F271" s="102">
        <v>32.78</v>
      </c>
    </row>
    <row r="272" spans="1:6" ht="15">
      <c r="A272" s="384"/>
      <c r="B272" s="384"/>
      <c r="C272" s="384"/>
      <c r="D272" s="384"/>
      <c r="E272" s="384"/>
      <c r="F272" s="384"/>
    </row>
    <row r="273" spans="1:6" ht="15">
      <c r="A273" s="101">
        <v>474</v>
      </c>
      <c r="B273" s="101">
        <v>413</v>
      </c>
      <c r="C273" s="101">
        <v>16.43</v>
      </c>
      <c r="D273" s="101">
        <v>16.69</v>
      </c>
      <c r="E273" s="101">
        <v>27.38</v>
      </c>
      <c r="F273" s="102">
        <v>32.86</v>
      </c>
    </row>
    <row r="274" spans="1:6" ht="15">
      <c r="A274" s="384"/>
      <c r="B274" s="384"/>
      <c r="C274" s="384"/>
      <c r="D274" s="384"/>
      <c r="E274" s="384"/>
      <c r="F274" s="384"/>
    </row>
    <row r="275" spans="1:6" ht="15">
      <c r="A275" s="101">
        <v>475</v>
      </c>
      <c r="B275" s="101">
        <v>413</v>
      </c>
      <c r="C275" s="101">
        <v>16.43</v>
      </c>
      <c r="D275" s="101">
        <v>16.69</v>
      </c>
      <c r="E275" s="101">
        <v>27.38</v>
      </c>
      <c r="F275" s="102">
        <v>32.86</v>
      </c>
    </row>
    <row r="276" spans="1:6" ht="15">
      <c r="A276" s="384"/>
      <c r="B276" s="384"/>
      <c r="C276" s="384"/>
      <c r="D276" s="384"/>
      <c r="E276" s="384"/>
      <c r="F276" s="384"/>
    </row>
    <row r="277" spans="1:6" ht="15">
      <c r="A277" s="101">
        <v>476</v>
      </c>
      <c r="B277" s="101">
        <v>414</v>
      </c>
      <c r="C277" s="101">
        <v>16.48</v>
      </c>
      <c r="D277" s="101">
        <v>16.74</v>
      </c>
      <c r="E277" s="101">
        <v>27.47</v>
      </c>
      <c r="F277" s="102">
        <v>32.96</v>
      </c>
    </row>
    <row r="278" spans="1:6" ht="15">
      <c r="A278" s="384"/>
      <c r="B278" s="384"/>
      <c r="C278" s="384"/>
      <c r="D278" s="384"/>
      <c r="E278" s="384"/>
      <c r="F278" s="384"/>
    </row>
    <row r="279" spans="1:6" ht="15">
      <c r="A279" s="101">
        <v>477</v>
      </c>
      <c r="B279" s="101">
        <v>415</v>
      </c>
      <c r="C279" s="101">
        <v>16.51</v>
      </c>
      <c r="D279" s="101">
        <v>16.78</v>
      </c>
      <c r="E279" s="101">
        <v>27.52</v>
      </c>
      <c r="F279" s="102">
        <v>33.02</v>
      </c>
    </row>
    <row r="280" spans="1:6" ht="15">
      <c r="A280" s="384"/>
      <c r="B280" s="384"/>
      <c r="C280" s="384"/>
      <c r="D280" s="384"/>
      <c r="E280" s="384"/>
      <c r="F280" s="384"/>
    </row>
    <row r="281" spans="1:6" ht="15">
      <c r="A281" s="101">
        <v>478</v>
      </c>
      <c r="B281" s="101">
        <v>415</v>
      </c>
      <c r="C281" s="101">
        <v>16.51</v>
      </c>
      <c r="D281" s="101">
        <v>16.78</v>
      </c>
      <c r="E281" s="101">
        <v>27.52</v>
      </c>
      <c r="F281" s="102">
        <v>33.02</v>
      </c>
    </row>
    <row r="282" spans="1:6" ht="15">
      <c r="A282" s="384"/>
      <c r="B282" s="384"/>
      <c r="C282" s="384"/>
      <c r="D282" s="384"/>
      <c r="E282" s="384"/>
      <c r="F282" s="384"/>
    </row>
    <row r="283" spans="1:6" ht="15">
      <c r="A283" s="101">
        <v>479</v>
      </c>
      <c r="B283" s="101">
        <v>416</v>
      </c>
      <c r="C283" s="101">
        <v>16.55</v>
      </c>
      <c r="D283" s="101">
        <v>16.81</v>
      </c>
      <c r="E283" s="101">
        <v>27.58</v>
      </c>
      <c r="F283" s="102">
        <v>33.1</v>
      </c>
    </row>
    <row r="284" spans="1:6" ht="15">
      <c r="A284" s="384"/>
      <c r="B284" s="384"/>
      <c r="C284" s="384"/>
      <c r="D284" s="384"/>
      <c r="E284" s="384"/>
      <c r="F284" s="384"/>
    </row>
    <row r="285" spans="1:6" ht="15">
      <c r="A285" s="101">
        <v>480</v>
      </c>
      <c r="B285" s="101">
        <v>416</v>
      </c>
      <c r="C285" s="101">
        <v>16.55</v>
      </c>
      <c r="D285" s="101">
        <v>16.81</v>
      </c>
      <c r="E285" s="101">
        <v>27.58</v>
      </c>
      <c r="F285" s="102">
        <v>33.1</v>
      </c>
    </row>
    <row r="286" spans="1:6" ht="15">
      <c r="A286" s="384"/>
      <c r="B286" s="384"/>
      <c r="C286" s="384"/>
      <c r="D286" s="384"/>
      <c r="E286" s="384"/>
      <c r="F286" s="384"/>
    </row>
    <row r="287" spans="1:6" ht="15">
      <c r="A287" s="101">
        <v>481</v>
      </c>
      <c r="B287" s="101">
        <v>417</v>
      </c>
      <c r="C287" s="101">
        <v>16.59</v>
      </c>
      <c r="D287" s="101">
        <v>16.85</v>
      </c>
      <c r="E287" s="101">
        <v>27.65</v>
      </c>
      <c r="F287" s="102">
        <v>33.18</v>
      </c>
    </row>
    <row r="288" spans="1:6" ht="15">
      <c r="A288" s="384"/>
      <c r="B288" s="384"/>
      <c r="C288" s="384"/>
      <c r="D288" s="384"/>
      <c r="E288" s="384"/>
      <c r="F288" s="384"/>
    </row>
    <row r="289" spans="1:6" ht="15">
      <c r="A289" s="101">
        <v>482</v>
      </c>
      <c r="B289" s="101">
        <v>417</v>
      </c>
      <c r="C289" s="101">
        <v>16.59</v>
      </c>
      <c r="D289" s="101">
        <v>16.85</v>
      </c>
      <c r="E289" s="101">
        <v>27.65</v>
      </c>
      <c r="F289" s="102">
        <v>33.18</v>
      </c>
    </row>
    <row r="290" spans="1:6" ht="15">
      <c r="A290" s="384"/>
      <c r="B290" s="384"/>
      <c r="C290" s="384"/>
      <c r="D290" s="384"/>
      <c r="E290" s="384"/>
      <c r="F290" s="384"/>
    </row>
    <row r="291" spans="1:6" ht="15">
      <c r="A291" s="101">
        <v>483</v>
      </c>
      <c r="B291" s="101">
        <v>418</v>
      </c>
      <c r="C291" s="101">
        <v>16.63</v>
      </c>
      <c r="D291" s="101">
        <v>16.89</v>
      </c>
      <c r="E291" s="101">
        <v>27.72</v>
      </c>
      <c r="F291" s="102">
        <v>33.26</v>
      </c>
    </row>
    <row r="292" spans="1:6" ht="15">
      <c r="A292" s="384"/>
      <c r="B292" s="384"/>
      <c r="C292" s="384"/>
      <c r="D292" s="384"/>
      <c r="E292" s="384"/>
      <c r="F292" s="384"/>
    </row>
    <row r="293" spans="1:6" ht="15">
      <c r="A293" s="101">
        <v>484</v>
      </c>
      <c r="B293" s="101">
        <v>419</v>
      </c>
      <c r="C293" s="101">
        <v>16.66</v>
      </c>
      <c r="D293" s="101">
        <v>16.93</v>
      </c>
      <c r="E293" s="101">
        <v>27.77</v>
      </c>
      <c r="F293" s="102">
        <v>33.32</v>
      </c>
    </row>
    <row r="294" spans="1:6" ht="15">
      <c r="A294" s="384"/>
      <c r="B294" s="384"/>
      <c r="C294" s="384"/>
      <c r="D294" s="384"/>
      <c r="E294" s="384"/>
      <c r="F294" s="384"/>
    </row>
    <row r="295" spans="1:6" ht="15">
      <c r="A295" s="101">
        <v>485</v>
      </c>
      <c r="B295" s="101">
        <v>420</v>
      </c>
      <c r="C295" s="101">
        <v>16.71</v>
      </c>
      <c r="D295" s="101">
        <v>16.98</v>
      </c>
      <c r="E295" s="101">
        <v>27.85</v>
      </c>
      <c r="F295" s="102">
        <v>33.42</v>
      </c>
    </row>
    <row r="296" spans="1:6" ht="15">
      <c r="A296" s="384"/>
      <c r="B296" s="384"/>
      <c r="C296" s="384"/>
      <c r="D296" s="384"/>
      <c r="E296" s="384"/>
      <c r="F296" s="384"/>
    </row>
    <row r="297" spans="1:6" ht="15">
      <c r="A297" s="101">
        <v>486</v>
      </c>
      <c r="B297" s="101">
        <v>420</v>
      </c>
      <c r="C297" s="101">
        <v>16.71</v>
      </c>
      <c r="D297" s="101">
        <v>16.98</v>
      </c>
      <c r="E297" s="101">
        <v>27.85</v>
      </c>
      <c r="F297" s="102">
        <v>33.42</v>
      </c>
    </row>
    <row r="298" spans="1:6" ht="15">
      <c r="A298" s="384"/>
      <c r="B298" s="384"/>
      <c r="C298" s="384"/>
      <c r="D298" s="384"/>
      <c r="E298" s="384"/>
      <c r="F298" s="384"/>
    </row>
    <row r="299" spans="1:6" ht="15">
      <c r="A299" s="101">
        <v>487</v>
      </c>
      <c r="B299" s="101">
        <v>421</v>
      </c>
      <c r="C299" s="101">
        <v>16.75</v>
      </c>
      <c r="D299" s="101">
        <v>17.02</v>
      </c>
      <c r="E299" s="101">
        <v>27.92</v>
      </c>
      <c r="F299" s="102">
        <v>33.5</v>
      </c>
    </row>
    <row r="300" spans="1:6" ht="15">
      <c r="A300" s="384"/>
      <c r="B300" s="384"/>
      <c r="C300" s="384"/>
      <c r="D300" s="384"/>
      <c r="E300" s="384"/>
      <c r="F300" s="384"/>
    </row>
    <row r="301" spans="1:6" ht="15">
      <c r="A301" s="101">
        <v>488</v>
      </c>
      <c r="B301" s="101">
        <v>422</v>
      </c>
      <c r="C301" s="101">
        <v>16.79</v>
      </c>
      <c r="D301" s="101">
        <v>17.06</v>
      </c>
      <c r="E301" s="101">
        <v>27.98</v>
      </c>
      <c r="F301" s="102">
        <v>33.58</v>
      </c>
    </row>
    <row r="302" spans="1:6" ht="15">
      <c r="A302" s="384"/>
      <c r="B302" s="384"/>
      <c r="C302" s="384"/>
      <c r="D302" s="384"/>
      <c r="E302" s="384"/>
      <c r="F302" s="384"/>
    </row>
    <row r="303" spans="1:6" ht="15">
      <c r="A303" s="101">
        <v>489</v>
      </c>
      <c r="B303" s="101">
        <v>422</v>
      </c>
      <c r="C303" s="101">
        <v>16.79</v>
      </c>
      <c r="D303" s="101">
        <v>17.06</v>
      </c>
      <c r="E303" s="101">
        <v>27.98</v>
      </c>
      <c r="F303" s="102">
        <v>33.58</v>
      </c>
    </row>
    <row r="304" spans="1:6" ht="15">
      <c r="A304" s="384"/>
      <c r="B304" s="384"/>
      <c r="C304" s="384"/>
      <c r="D304" s="384"/>
      <c r="E304" s="384"/>
      <c r="F304" s="384"/>
    </row>
    <row r="305" spans="1:6" ht="15">
      <c r="A305" s="101">
        <v>490</v>
      </c>
      <c r="B305" s="101">
        <v>423</v>
      </c>
      <c r="C305" s="101">
        <v>16.83</v>
      </c>
      <c r="D305" s="101">
        <v>17.09</v>
      </c>
      <c r="E305" s="101">
        <v>28.05</v>
      </c>
      <c r="F305" s="102">
        <v>33.66</v>
      </c>
    </row>
    <row r="306" spans="1:6" ht="15">
      <c r="A306" s="384"/>
      <c r="B306" s="384"/>
      <c r="C306" s="384"/>
      <c r="D306" s="384"/>
      <c r="E306" s="384"/>
      <c r="F306" s="384"/>
    </row>
    <row r="307" spans="1:6" ht="15">
      <c r="A307" s="101">
        <v>491</v>
      </c>
      <c r="B307" s="101">
        <v>424</v>
      </c>
      <c r="C307" s="101">
        <v>16.86</v>
      </c>
      <c r="D307" s="101">
        <v>17.13</v>
      </c>
      <c r="E307" s="101">
        <v>28.1</v>
      </c>
      <c r="F307" s="102">
        <v>33.72</v>
      </c>
    </row>
    <row r="308" spans="1:6" ht="15">
      <c r="A308" s="384"/>
      <c r="B308" s="384"/>
      <c r="C308" s="384"/>
      <c r="D308" s="384"/>
      <c r="E308" s="384"/>
      <c r="F308" s="384"/>
    </row>
    <row r="309" spans="1:6" ht="15">
      <c r="A309" s="101">
        <v>492</v>
      </c>
      <c r="B309" s="101">
        <v>425</v>
      </c>
      <c r="C309" s="101">
        <v>16.91</v>
      </c>
      <c r="D309" s="101">
        <v>17.18</v>
      </c>
      <c r="E309" s="101">
        <v>28.18</v>
      </c>
      <c r="F309" s="102">
        <v>33.82</v>
      </c>
    </row>
    <row r="310" spans="1:6" ht="15">
      <c r="A310" s="384"/>
      <c r="B310" s="384"/>
      <c r="C310" s="384"/>
      <c r="D310" s="384"/>
      <c r="E310" s="384"/>
      <c r="F310" s="384"/>
    </row>
    <row r="311" spans="1:6" ht="15">
      <c r="A311" s="101">
        <v>493</v>
      </c>
      <c r="B311" s="101">
        <v>425</v>
      </c>
      <c r="C311" s="101">
        <v>16.91</v>
      </c>
      <c r="D311" s="101">
        <v>17.18</v>
      </c>
      <c r="E311" s="101">
        <v>28.18</v>
      </c>
      <c r="F311" s="102">
        <v>33.82</v>
      </c>
    </row>
    <row r="312" spans="1:6" ht="15">
      <c r="A312" s="384"/>
      <c r="B312" s="384"/>
      <c r="C312" s="384"/>
      <c r="D312" s="384"/>
      <c r="E312" s="384"/>
      <c r="F312" s="384"/>
    </row>
    <row r="313" spans="1:6" ht="15">
      <c r="A313" s="101">
        <v>494</v>
      </c>
      <c r="B313" s="101">
        <v>426</v>
      </c>
      <c r="C313" s="101">
        <v>16.95</v>
      </c>
      <c r="D313" s="101">
        <v>17.22</v>
      </c>
      <c r="E313" s="101">
        <v>28.25</v>
      </c>
      <c r="F313" s="102">
        <v>33.9</v>
      </c>
    </row>
    <row r="314" spans="1:6" ht="15">
      <c r="A314" s="384"/>
      <c r="B314" s="384"/>
      <c r="C314" s="384"/>
      <c r="D314" s="384"/>
      <c r="E314" s="384"/>
      <c r="F314" s="384"/>
    </row>
    <row r="315" spans="1:6" ht="15">
      <c r="A315" s="101">
        <v>495</v>
      </c>
      <c r="B315" s="101">
        <v>427</v>
      </c>
      <c r="C315" s="101">
        <v>16.99</v>
      </c>
      <c r="D315" s="101">
        <v>17.26</v>
      </c>
      <c r="E315" s="101">
        <v>28.32</v>
      </c>
      <c r="F315" s="102">
        <v>33.98</v>
      </c>
    </row>
    <row r="316" spans="1:6" ht="15">
      <c r="A316" s="384"/>
      <c r="B316" s="384"/>
      <c r="C316" s="384"/>
      <c r="D316" s="384"/>
      <c r="E316" s="384"/>
      <c r="F316" s="384"/>
    </row>
    <row r="317" spans="1:6" ht="15">
      <c r="A317" s="101">
        <v>496</v>
      </c>
      <c r="B317" s="101">
        <v>428</v>
      </c>
      <c r="C317" s="101">
        <v>17.03</v>
      </c>
      <c r="D317" s="101">
        <v>17.3</v>
      </c>
      <c r="E317" s="101">
        <v>28.38</v>
      </c>
      <c r="F317" s="102">
        <v>34.06</v>
      </c>
    </row>
    <row r="318" spans="1:6" ht="15">
      <c r="A318" s="384"/>
      <c r="B318" s="384"/>
      <c r="C318" s="384"/>
      <c r="D318" s="384"/>
      <c r="E318" s="384"/>
      <c r="F318" s="384"/>
    </row>
    <row r="319" spans="1:6" ht="15">
      <c r="A319" s="101">
        <v>497</v>
      </c>
      <c r="B319" s="101">
        <v>428</v>
      </c>
      <c r="C319" s="101">
        <v>17.03</v>
      </c>
      <c r="D319" s="101">
        <v>17.3</v>
      </c>
      <c r="E319" s="101">
        <v>28.38</v>
      </c>
      <c r="F319" s="102">
        <v>34.06</v>
      </c>
    </row>
    <row r="320" spans="1:6" ht="15">
      <c r="A320" s="384"/>
      <c r="B320" s="384"/>
      <c r="C320" s="384"/>
      <c r="D320" s="384"/>
      <c r="E320" s="384"/>
      <c r="F320" s="384"/>
    </row>
    <row r="321" spans="1:6" ht="15">
      <c r="A321" s="101">
        <v>498</v>
      </c>
      <c r="B321" s="101">
        <v>429</v>
      </c>
      <c r="C321" s="101">
        <v>17.06</v>
      </c>
      <c r="D321" s="101">
        <v>17.34</v>
      </c>
      <c r="E321" s="101">
        <v>28.43</v>
      </c>
      <c r="F321" s="102">
        <v>34.12</v>
      </c>
    </row>
    <row r="322" spans="1:6" ht="15">
      <c r="A322" s="384"/>
      <c r="B322" s="384"/>
      <c r="C322" s="384"/>
      <c r="D322" s="384"/>
      <c r="E322" s="384"/>
      <c r="F322" s="384"/>
    </row>
    <row r="323" spans="1:6" ht="15">
      <c r="A323" s="101">
        <v>499</v>
      </c>
      <c r="B323" s="101">
        <v>430</v>
      </c>
      <c r="C323" s="101">
        <v>17.1</v>
      </c>
      <c r="D323" s="101">
        <v>17.37</v>
      </c>
      <c r="E323" s="101">
        <v>28.5</v>
      </c>
      <c r="F323" s="102">
        <v>34.2</v>
      </c>
    </row>
    <row r="324" spans="1:6" ht="15">
      <c r="A324" s="384"/>
      <c r="B324" s="384"/>
      <c r="C324" s="384"/>
      <c r="D324" s="384"/>
      <c r="E324" s="384"/>
      <c r="F324" s="384"/>
    </row>
    <row r="325" spans="1:6" ht="30">
      <c r="A325" s="103" t="s">
        <v>138</v>
      </c>
      <c r="F325" s="34"/>
    </row>
    <row r="326" spans="1:6" ht="15">
      <c r="A326" s="100"/>
      <c r="F326" s="34"/>
    </row>
    <row r="327" spans="1:6" ht="15">
      <c r="A327" s="101">
        <v>340</v>
      </c>
      <c r="B327" s="101">
        <v>321</v>
      </c>
      <c r="C327" s="101">
        <v>10.22</v>
      </c>
      <c r="D327" s="101">
        <v>10.22</v>
      </c>
      <c r="E327" s="101">
        <v>17.03</v>
      </c>
      <c r="F327" s="102">
        <v>20.44</v>
      </c>
    </row>
    <row r="328" spans="1:6" ht="15">
      <c r="A328" s="384"/>
      <c r="B328" s="384"/>
      <c r="C328" s="384"/>
      <c r="D328" s="384"/>
      <c r="E328" s="384"/>
      <c r="F328" s="384"/>
    </row>
    <row r="329" spans="1:6" ht="15">
      <c r="A329" s="101">
        <v>341</v>
      </c>
      <c r="B329" s="101">
        <v>322</v>
      </c>
      <c r="C329" s="101">
        <v>10.25</v>
      </c>
      <c r="D329" s="101">
        <v>10.25</v>
      </c>
      <c r="E329" s="101">
        <v>17.08</v>
      </c>
      <c r="F329" s="102">
        <v>20.5</v>
      </c>
    </row>
    <row r="330" spans="1:6" ht="15">
      <c r="A330" s="384"/>
      <c r="B330" s="384"/>
      <c r="C330" s="384"/>
      <c r="D330" s="384"/>
      <c r="E330" s="384"/>
      <c r="F330" s="384"/>
    </row>
    <row r="331" spans="1:6" ht="15">
      <c r="A331" s="101">
        <v>342</v>
      </c>
      <c r="B331" s="101">
        <v>323</v>
      </c>
      <c r="C331" s="101">
        <v>10.28</v>
      </c>
      <c r="D331" s="101">
        <v>10.28</v>
      </c>
      <c r="E331" s="101">
        <v>17.13</v>
      </c>
      <c r="F331" s="102">
        <v>20.56</v>
      </c>
    </row>
    <row r="332" spans="1:6" ht="15">
      <c r="A332" s="384"/>
      <c r="B332" s="384"/>
      <c r="C332" s="384"/>
      <c r="D332" s="384"/>
      <c r="E332" s="384"/>
      <c r="F332" s="384"/>
    </row>
    <row r="333" spans="1:6" ht="15">
      <c r="A333" s="101">
        <v>343</v>
      </c>
      <c r="B333" s="101">
        <v>324</v>
      </c>
      <c r="C333" s="101">
        <v>10.31</v>
      </c>
      <c r="D333" s="101">
        <v>10.31</v>
      </c>
      <c r="E333" s="101">
        <v>17.18</v>
      </c>
      <c r="F333" s="102">
        <v>20.62</v>
      </c>
    </row>
    <row r="334" spans="1:6" ht="15">
      <c r="A334" s="384"/>
      <c r="B334" s="384"/>
      <c r="C334" s="384"/>
      <c r="D334" s="384"/>
      <c r="E334" s="384"/>
      <c r="F334" s="384"/>
    </row>
    <row r="335" spans="1:6" ht="15">
      <c r="A335" s="101">
        <v>344</v>
      </c>
      <c r="B335" s="101">
        <v>324</v>
      </c>
      <c r="C335" s="101">
        <v>10.31</v>
      </c>
      <c r="D335" s="101">
        <v>10.31</v>
      </c>
      <c r="E335" s="101">
        <v>17.18</v>
      </c>
      <c r="F335" s="102">
        <v>20.62</v>
      </c>
    </row>
    <row r="336" spans="1:6" ht="15">
      <c r="A336" s="384"/>
      <c r="B336" s="384"/>
      <c r="C336" s="384"/>
      <c r="D336" s="384"/>
      <c r="E336" s="384"/>
      <c r="F336" s="384"/>
    </row>
    <row r="337" spans="1:6" ht="15">
      <c r="A337" s="101">
        <v>345</v>
      </c>
      <c r="B337" s="101">
        <v>324</v>
      </c>
      <c r="C337" s="101">
        <v>10.31</v>
      </c>
      <c r="D337" s="101">
        <v>10.31</v>
      </c>
      <c r="E337" s="101">
        <v>17.18</v>
      </c>
      <c r="F337" s="102">
        <v>20.62</v>
      </c>
    </row>
    <row r="338" spans="1:6" ht="15">
      <c r="A338" s="384"/>
      <c r="B338" s="384"/>
      <c r="C338" s="384"/>
      <c r="D338" s="384"/>
      <c r="E338" s="384"/>
      <c r="F338" s="384"/>
    </row>
    <row r="339" spans="1:6" ht="15">
      <c r="A339" s="101">
        <v>346</v>
      </c>
      <c r="B339" s="101">
        <v>324</v>
      </c>
      <c r="C339" s="101">
        <v>10.31</v>
      </c>
      <c r="D339" s="101">
        <v>10.31</v>
      </c>
      <c r="E339" s="101">
        <v>17.18</v>
      </c>
      <c r="F339" s="102">
        <v>20.62</v>
      </c>
    </row>
    <row r="340" spans="1:6" ht="15">
      <c r="A340" s="384"/>
      <c r="B340" s="384"/>
      <c r="C340" s="384"/>
      <c r="D340" s="384"/>
      <c r="E340" s="384"/>
      <c r="F340" s="384"/>
    </row>
    <row r="341" spans="1:6" ht="15">
      <c r="A341" s="101">
        <v>347</v>
      </c>
      <c r="B341" s="101">
        <v>325</v>
      </c>
      <c r="C341" s="101">
        <v>10.34</v>
      </c>
      <c r="D341" s="101">
        <v>10.34</v>
      </c>
      <c r="E341" s="101">
        <v>17.23</v>
      </c>
      <c r="F341" s="102">
        <v>20.68</v>
      </c>
    </row>
    <row r="342" spans="1:6" ht="15">
      <c r="A342" s="384"/>
      <c r="B342" s="384"/>
      <c r="C342" s="384"/>
      <c r="D342" s="384"/>
      <c r="E342" s="384"/>
      <c r="F342" s="384"/>
    </row>
    <row r="343" spans="1:6" ht="15">
      <c r="A343" s="101">
        <v>348</v>
      </c>
      <c r="B343" s="101">
        <v>326</v>
      </c>
      <c r="C343" s="101">
        <v>10.37</v>
      </c>
      <c r="D343" s="101">
        <v>10.37</v>
      </c>
      <c r="E343" s="101">
        <v>17.28</v>
      </c>
      <c r="F343" s="102">
        <v>20.74</v>
      </c>
    </row>
    <row r="344" spans="1:6" ht="15">
      <c r="A344" s="384"/>
      <c r="B344" s="384"/>
      <c r="C344" s="384"/>
      <c r="D344" s="384"/>
      <c r="E344" s="384"/>
      <c r="F344" s="384"/>
    </row>
    <row r="345" spans="1:6" ht="15">
      <c r="A345" s="101">
        <v>349</v>
      </c>
      <c r="B345" s="101">
        <v>327</v>
      </c>
      <c r="C345" s="101">
        <v>10.41</v>
      </c>
      <c r="D345" s="101">
        <v>10.41</v>
      </c>
      <c r="E345" s="101">
        <v>17.35</v>
      </c>
      <c r="F345" s="102">
        <v>20.82</v>
      </c>
    </row>
    <row r="346" spans="1:6" ht="15">
      <c r="A346" s="384"/>
      <c r="B346" s="384"/>
      <c r="C346" s="384"/>
      <c r="D346" s="384"/>
      <c r="E346" s="384"/>
      <c r="F346" s="384"/>
    </row>
    <row r="347" spans="1:6" ht="15">
      <c r="A347" s="101">
        <v>350</v>
      </c>
      <c r="B347" s="101">
        <v>327</v>
      </c>
      <c r="C347" s="101">
        <v>10.41</v>
      </c>
      <c r="D347" s="101">
        <v>10.41</v>
      </c>
      <c r="E347" s="101">
        <v>17.35</v>
      </c>
      <c r="F347" s="102">
        <v>20.82</v>
      </c>
    </row>
    <row r="348" spans="1:6" ht="15">
      <c r="A348" s="384"/>
      <c r="B348" s="384"/>
      <c r="C348" s="384"/>
      <c r="D348" s="384"/>
      <c r="E348" s="384"/>
      <c r="F348" s="384"/>
    </row>
    <row r="349" spans="1:6" ht="15">
      <c r="A349" s="101">
        <v>351</v>
      </c>
      <c r="B349" s="101">
        <v>328</v>
      </c>
      <c r="C349" s="101">
        <v>10.44</v>
      </c>
      <c r="D349" s="101">
        <v>10.44</v>
      </c>
      <c r="E349" s="101">
        <v>17.4</v>
      </c>
      <c r="F349" s="102">
        <v>20.88</v>
      </c>
    </row>
    <row r="350" spans="1:6" ht="15">
      <c r="A350" s="384"/>
      <c r="B350" s="384"/>
      <c r="C350" s="384"/>
      <c r="D350" s="384"/>
      <c r="E350" s="384"/>
      <c r="F350" s="384"/>
    </row>
    <row r="351" spans="1:6" ht="15">
      <c r="A351" s="101">
        <v>352</v>
      </c>
      <c r="B351" s="101">
        <v>329</v>
      </c>
      <c r="C351" s="101">
        <v>10.47</v>
      </c>
      <c r="D351" s="101">
        <v>10.47</v>
      </c>
      <c r="E351" s="101">
        <v>17.45</v>
      </c>
      <c r="F351" s="102">
        <v>20.94</v>
      </c>
    </row>
    <row r="352" spans="1:6" ht="15">
      <c r="A352" s="384"/>
      <c r="B352" s="384"/>
      <c r="C352" s="384"/>
      <c r="D352" s="384"/>
      <c r="E352" s="384"/>
      <c r="F352" s="384"/>
    </row>
    <row r="353" spans="1:6" ht="15">
      <c r="A353" s="101">
        <v>353</v>
      </c>
      <c r="B353" s="101">
        <v>329</v>
      </c>
      <c r="C353" s="101">
        <v>10.47</v>
      </c>
      <c r="D353" s="101">
        <v>10.47</v>
      </c>
      <c r="E353" s="101">
        <v>17.45</v>
      </c>
      <c r="F353" s="102">
        <v>20.94</v>
      </c>
    </row>
    <row r="354" spans="1:6" ht="15">
      <c r="A354" s="384"/>
      <c r="B354" s="384"/>
      <c r="C354" s="384"/>
      <c r="D354" s="384"/>
      <c r="E354" s="384"/>
      <c r="F354" s="384"/>
    </row>
    <row r="355" spans="1:6" ht="15">
      <c r="A355" s="101">
        <v>354</v>
      </c>
      <c r="B355" s="101">
        <v>330</v>
      </c>
      <c r="C355" s="101">
        <v>10.5</v>
      </c>
      <c r="D355" s="101">
        <v>10.5</v>
      </c>
      <c r="E355" s="101">
        <v>17.5</v>
      </c>
      <c r="F355" s="102">
        <v>21</v>
      </c>
    </row>
    <row r="356" spans="1:6" ht="15">
      <c r="A356" s="384"/>
      <c r="B356" s="384"/>
      <c r="C356" s="384"/>
      <c r="D356" s="384"/>
      <c r="E356" s="384"/>
      <c r="F356" s="384"/>
    </row>
    <row r="357" spans="1:6" ht="15">
      <c r="A357" s="101">
        <v>355</v>
      </c>
      <c r="B357" s="101">
        <v>331</v>
      </c>
      <c r="C357" s="101">
        <v>10.53</v>
      </c>
      <c r="D357" s="101">
        <v>10.53</v>
      </c>
      <c r="E357" s="101">
        <v>17.55</v>
      </c>
      <c r="F357" s="102">
        <v>21.06</v>
      </c>
    </row>
    <row r="358" spans="1:6" ht="15">
      <c r="A358" s="384"/>
      <c r="B358" s="384"/>
      <c r="C358" s="384"/>
      <c r="D358" s="384"/>
      <c r="E358" s="384"/>
      <c r="F358" s="384"/>
    </row>
    <row r="359" spans="1:6" ht="15">
      <c r="A359" s="101">
        <v>356</v>
      </c>
      <c r="B359" s="101">
        <v>332</v>
      </c>
      <c r="C359" s="101">
        <v>10.57</v>
      </c>
      <c r="D359" s="101">
        <v>10.57</v>
      </c>
      <c r="E359" s="101">
        <v>17.62</v>
      </c>
      <c r="F359" s="102">
        <v>21.14</v>
      </c>
    </row>
    <row r="360" spans="1:6" ht="15">
      <c r="A360" s="384"/>
      <c r="B360" s="384"/>
      <c r="C360" s="384"/>
      <c r="D360" s="384"/>
      <c r="E360" s="384"/>
      <c r="F360" s="384"/>
    </row>
    <row r="361" spans="1:6" ht="15">
      <c r="A361" s="101">
        <v>357</v>
      </c>
      <c r="B361" s="101">
        <v>332</v>
      </c>
      <c r="C361" s="101">
        <v>10.57</v>
      </c>
      <c r="D361" s="101">
        <v>10.57</v>
      </c>
      <c r="E361" s="101">
        <v>17.62</v>
      </c>
      <c r="F361" s="102">
        <v>21.14</v>
      </c>
    </row>
    <row r="362" spans="1:6" ht="15">
      <c r="A362" s="384"/>
      <c r="B362" s="384"/>
      <c r="C362" s="384"/>
      <c r="D362" s="384"/>
      <c r="E362" s="384"/>
      <c r="F362" s="384"/>
    </row>
    <row r="363" spans="1:6" ht="15">
      <c r="A363" s="101">
        <v>358</v>
      </c>
      <c r="B363" s="101">
        <v>333</v>
      </c>
      <c r="C363" s="101">
        <v>10.6</v>
      </c>
      <c r="D363" s="101">
        <v>10.6</v>
      </c>
      <c r="E363" s="101">
        <v>17.67</v>
      </c>
      <c r="F363" s="102">
        <v>21.2</v>
      </c>
    </row>
    <row r="364" spans="1:6" ht="15">
      <c r="A364" s="384"/>
      <c r="B364" s="384"/>
      <c r="C364" s="384"/>
      <c r="D364" s="384"/>
      <c r="E364" s="384"/>
      <c r="F364" s="384"/>
    </row>
    <row r="365" spans="1:6" ht="15">
      <c r="A365" s="101">
        <v>359</v>
      </c>
      <c r="B365" s="101">
        <v>334</v>
      </c>
      <c r="C365" s="101">
        <v>10.63</v>
      </c>
      <c r="D365" s="101">
        <v>10.63</v>
      </c>
      <c r="E365" s="101">
        <v>17.72</v>
      </c>
      <c r="F365" s="102">
        <v>21.26</v>
      </c>
    </row>
    <row r="366" spans="1:6" ht="15">
      <c r="A366" s="384"/>
      <c r="B366" s="384"/>
      <c r="C366" s="384"/>
      <c r="D366" s="384"/>
      <c r="E366" s="384"/>
      <c r="F366" s="384"/>
    </row>
    <row r="367" spans="1:6" ht="15">
      <c r="A367" s="101">
        <v>360</v>
      </c>
      <c r="B367" s="101">
        <v>335</v>
      </c>
      <c r="C367" s="101">
        <v>10.66</v>
      </c>
      <c r="D367" s="101">
        <v>10.66</v>
      </c>
      <c r="E367" s="101">
        <v>17.77</v>
      </c>
      <c r="F367" s="102">
        <v>21.32</v>
      </c>
    </row>
    <row r="368" spans="1:6" ht="15">
      <c r="A368" s="384"/>
      <c r="B368" s="384"/>
      <c r="C368" s="384"/>
      <c r="D368" s="384"/>
      <c r="E368" s="384"/>
      <c r="F368" s="384"/>
    </row>
    <row r="369" spans="1:6" ht="15">
      <c r="A369" s="101">
        <v>361</v>
      </c>
      <c r="B369" s="101">
        <v>335</v>
      </c>
      <c r="C369" s="101">
        <v>10.66</v>
      </c>
      <c r="D369" s="101">
        <v>10.66</v>
      </c>
      <c r="E369" s="101">
        <v>17.77</v>
      </c>
      <c r="F369" s="102">
        <v>21.32</v>
      </c>
    </row>
    <row r="370" spans="1:6" ht="15">
      <c r="A370" s="384"/>
      <c r="B370" s="384"/>
      <c r="C370" s="384"/>
      <c r="D370" s="384"/>
      <c r="E370" s="384"/>
      <c r="F370" s="384"/>
    </row>
    <row r="371" spans="1:6" ht="15">
      <c r="A371" s="101">
        <v>362</v>
      </c>
      <c r="B371" s="101">
        <v>336</v>
      </c>
      <c r="C371" s="101">
        <v>10.69</v>
      </c>
      <c r="D371" s="101">
        <v>10.69</v>
      </c>
      <c r="E371" s="101">
        <v>17.82</v>
      </c>
      <c r="F371" s="102">
        <v>21.38</v>
      </c>
    </row>
    <row r="372" spans="1:6" ht="15">
      <c r="A372" s="384"/>
      <c r="B372" s="384"/>
      <c r="C372" s="384"/>
      <c r="D372" s="384"/>
      <c r="E372" s="384"/>
      <c r="F372" s="384"/>
    </row>
    <row r="373" spans="1:6" ht="15">
      <c r="A373" s="101">
        <v>363</v>
      </c>
      <c r="B373" s="101">
        <v>337</v>
      </c>
      <c r="C373" s="101">
        <v>10.72</v>
      </c>
      <c r="D373" s="101">
        <v>10.72</v>
      </c>
      <c r="E373" s="101">
        <v>17.87</v>
      </c>
      <c r="F373" s="102">
        <v>21.44</v>
      </c>
    </row>
    <row r="374" spans="1:6" ht="15">
      <c r="A374" s="384"/>
      <c r="B374" s="384"/>
      <c r="C374" s="384"/>
      <c r="D374" s="384"/>
      <c r="E374" s="384"/>
      <c r="F374" s="384"/>
    </row>
    <row r="375" spans="1:6" ht="15">
      <c r="A375" s="101">
        <v>364</v>
      </c>
      <c r="B375" s="101">
        <v>338</v>
      </c>
      <c r="C375" s="101">
        <v>10.76</v>
      </c>
      <c r="D375" s="101">
        <v>10.76</v>
      </c>
      <c r="E375" s="101">
        <v>17.93</v>
      </c>
      <c r="F375" s="102">
        <v>21.52</v>
      </c>
    </row>
    <row r="376" spans="1:6" ht="15">
      <c r="A376" s="384"/>
      <c r="B376" s="384"/>
      <c r="C376" s="384"/>
      <c r="D376" s="384"/>
      <c r="E376" s="384"/>
      <c r="F376" s="384"/>
    </row>
    <row r="377" spans="1:6" ht="15">
      <c r="A377" s="101">
        <v>365</v>
      </c>
      <c r="B377" s="101">
        <v>338</v>
      </c>
      <c r="C377" s="101">
        <v>10.76</v>
      </c>
      <c r="D377" s="101">
        <v>10.76</v>
      </c>
      <c r="E377" s="101">
        <v>17.93</v>
      </c>
      <c r="F377" s="102">
        <v>21.52</v>
      </c>
    </row>
    <row r="378" spans="1:6" ht="15">
      <c r="A378" s="384"/>
      <c r="B378" s="384"/>
      <c r="C378" s="384"/>
      <c r="D378" s="384"/>
      <c r="E378" s="384"/>
      <c r="F378" s="384"/>
    </row>
    <row r="379" spans="1:6" ht="15">
      <c r="A379" s="101">
        <v>366</v>
      </c>
      <c r="B379" s="101">
        <v>339</v>
      </c>
      <c r="C379" s="101">
        <v>10.79</v>
      </c>
      <c r="D379" s="101">
        <v>10.79</v>
      </c>
      <c r="E379" s="101">
        <v>17.98</v>
      </c>
      <c r="F379" s="102">
        <v>21.58</v>
      </c>
    </row>
    <row r="380" spans="1:6" ht="15">
      <c r="A380" s="384"/>
      <c r="B380" s="384"/>
      <c r="C380" s="384"/>
      <c r="D380" s="384"/>
      <c r="E380" s="384"/>
      <c r="F380" s="384"/>
    </row>
    <row r="381" spans="1:6" ht="15">
      <c r="A381" s="101">
        <v>367</v>
      </c>
      <c r="B381" s="101">
        <v>340</v>
      </c>
      <c r="C381" s="101">
        <v>10.82</v>
      </c>
      <c r="D381" s="101">
        <v>10.82</v>
      </c>
      <c r="E381" s="101">
        <v>18.03</v>
      </c>
      <c r="F381" s="102">
        <v>21.64</v>
      </c>
    </row>
    <row r="382" spans="1:6" ht="15">
      <c r="A382" s="384"/>
      <c r="B382" s="384"/>
      <c r="C382" s="384"/>
      <c r="D382" s="384"/>
      <c r="E382" s="384"/>
      <c r="F382" s="384"/>
    </row>
    <row r="383" spans="1:6" ht="15">
      <c r="A383" s="101">
        <v>368</v>
      </c>
      <c r="B383" s="101">
        <v>341</v>
      </c>
      <c r="C383" s="101">
        <v>10.85</v>
      </c>
      <c r="D383" s="101">
        <v>10.85</v>
      </c>
      <c r="E383" s="101">
        <v>18.08</v>
      </c>
      <c r="F383" s="102">
        <v>21.7</v>
      </c>
    </row>
    <row r="384" spans="1:6" ht="15">
      <c r="A384" s="384"/>
      <c r="B384" s="384"/>
      <c r="C384" s="384"/>
      <c r="D384" s="384"/>
      <c r="E384" s="384"/>
      <c r="F384" s="384"/>
    </row>
    <row r="385" spans="1:6" ht="15">
      <c r="A385" s="101">
        <v>369</v>
      </c>
      <c r="B385" s="101">
        <v>341</v>
      </c>
      <c r="C385" s="101">
        <v>10.85</v>
      </c>
      <c r="D385" s="101">
        <v>10.85</v>
      </c>
      <c r="E385" s="101">
        <v>18.08</v>
      </c>
      <c r="F385" s="102">
        <v>21.7</v>
      </c>
    </row>
    <row r="386" spans="1:6" ht="15">
      <c r="A386" s="384"/>
      <c r="B386" s="384"/>
      <c r="C386" s="384"/>
      <c r="D386" s="384"/>
      <c r="E386" s="384"/>
      <c r="F386" s="384"/>
    </row>
    <row r="387" spans="1:6" ht="15">
      <c r="A387" s="101">
        <v>370</v>
      </c>
      <c r="B387" s="101">
        <v>342</v>
      </c>
      <c r="C387" s="101">
        <v>10.88</v>
      </c>
      <c r="D387" s="101">
        <v>10.88</v>
      </c>
      <c r="E387" s="101">
        <v>18.13</v>
      </c>
      <c r="F387" s="102">
        <v>21.76</v>
      </c>
    </row>
    <row r="388" spans="1:6" ht="15">
      <c r="A388" s="384"/>
      <c r="B388" s="384"/>
      <c r="C388" s="384"/>
      <c r="D388" s="384"/>
      <c r="E388" s="384"/>
      <c r="F388" s="384"/>
    </row>
    <row r="389" spans="1:6" ht="15">
      <c r="A389" s="101">
        <v>371</v>
      </c>
      <c r="B389" s="101">
        <v>343</v>
      </c>
      <c r="C389" s="101">
        <v>10.92</v>
      </c>
      <c r="D389" s="101">
        <v>10.92</v>
      </c>
      <c r="E389" s="101">
        <v>18.2</v>
      </c>
      <c r="F389" s="102">
        <v>21.84</v>
      </c>
    </row>
    <row r="390" spans="1:6" ht="15">
      <c r="A390" s="384"/>
      <c r="B390" s="384"/>
      <c r="C390" s="384"/>
      <c r="D390" s="384"/>
      <c r="E390" s="384"/>
      <c r="F390" s="384"/>
    </row>
    <row r="391" spans="1:6" ht="15">
      <c r="A391" s="101">
        <v>372</v>
      </c>
      <c r="B391" s="101">
        <v>343</v>
      </c>
      <c r="C391" s="101">
        <v>10.92</v>
      </c>
      <c r="D391" s="101">
        <v>10.92</v>
      </c>
      <c r="E391" s="101">
        <v>18.2</v>
      </c>
      <c r="F391" s="102">
        <v>21.84</v>
      </c>
    </row>
    <row r="392" spans="1:6" ht="15">
      <c r="A392" s="384"/>
      <c r="B392" s="384"/>
      <c r="C392" s="384"/>
      <c r="D392" s="384"/>
      <c r="E392" s="384"/>
      <c r="F392" s="384"/>
    </row>
    <row r="393" spans="1:6" ht="15">
      <c r="A393" s="101">
        <v>373</v>
      </c>
      <c r="B393" s="101">
        <v>344</v>
      </c>
      <c r="C393" s="101">
        <v>10.95</v>
      </c>
      <c r="D393" s="101">
        <v>10.95</v>
      </c>
      <c r="E393" s="101">
        <v>18.25</v>
      </c>
      <c r="F393" s="102">
        <v>21.9</v>
      </c>
    </row>
    <row r="394" spans="1:6" ht="15">
      <c r="A394" s="384"/>
      <c r="B394" s="384"/>
      <c r="C394" s="384"/>
      <c r="D394" s="384"/>
      <c r="E394" s="384"/>
      <c r="F394" s="384"/>
    </row>
    <row r="395" spans="1:6" ht="15">
      <c r="A395" s="101">
        <v>374</v>
      </c>
      <c r="B395" s="101">
        <v>345</v>
      </c>
      <c r="C395" s="101">
        <v>10.98</v>
      </c>
      <c r="D395" s="101">
        <v>10.98</v>
      </c>
      <c r="E395" s="101">
        <v>18.3</v>
      </c>
      <c r="F395" s="102">
        <v>21.96</v>
      </c>
    </row>
    <row r="396" spans="1:6" ht="15">
      <c r="A396" s="384"/>
      <c r="B396" s="384"/>
      <c r="C396" s="384"/>
      <c r="D396" s="384"/>
      <c r="E396" s="384"/>
      <c r="F396" s="384"/>
    </row>
    <row r="397" spans="1:6" ht="15">
      <c r="A397" s="101">
        <v>375</v>
      </c>
      <c r="B397" s="101">
        <v>346</v>
      </c>
      <c r="C397" s="101">
        <v>11.01</v>
      </c>
      <c r="D397" s="101">
        <v>11.01</v>
      </c>
      <c r="E397" s="101">
        <v>18.35</v>
      </c>
      <c r="F397" s="102">
        <v>22.02</v>
      </c>
    </row>
    <row r="398" spans="1:6" ht="15">
      <c r="A398" s="384"/>
      <c r="B398" s="384"/>
      <c r="C398" s="384"/>
      <c r="D398" s="384"/>
      <c r="E398" s="384"/>
      <c r="F398" s="384"/>
    </row>
    <row r="399" spans="1:6" ht="15">
      <c r="A399" s="101">
        <v>376</v>
      </c>
      <c r="B399" s="101">
        <v>346</v>
      </c>
      <c r="C399" s="101">
        <v>11.01</v>
      </c>
      <c r="D399" s="101">
        <v>11.01</v>
      </c>
      <c r="E399" s="101">
        <v>18.35</v>
      </c>
      <c r="F399" s="102">
        <v>22.02</v>
      </c>
    </row>
    <row r="400" spans="1:6" ht="15">
      <c r="A400" s="384"/>
      <c r="B400" s="384"/>
      <c r="C400" s="384"/>
      <c r="D400" s="384"/>
      <c r="E400" s="384"/>
      <c r="F400" s="384"/>
    </row>
    <row r="401" spans="1:6" ht="15">
      <c r="A401" s="101">
        <v>377</v>
      </c>
      <c r="B401" s="101">
        <v>347</v>
      </c>
      <c r="C401" s="101">
        <v>11.04</v>
      </c>
      <c r="D401" s="101">
        <v>11.04</v>
      </c>
      <c r="E401" s="101">
        <v>18.4</v>
      </c>
      <c r="F401" s="102">
        <v>22.08</v>
      </c>
    </row>
    <row r="402" spans="1:6" ht="15">
      <c r="A402" s="384"/>
      <c r="B402" s="384"/>
      <c r="C402" s="384"/>
      <c r="D402" s="384"/>
      <c r="E402" s="384"/>
      <c r="F402" s="384"/>
    </row>
    <row r="403" spans="1:6" ht="15">
      <c r="A403" s="101">
        <v>378</v>
      </c>
      <c r="B403" s="101">
        <v>348</v>
      </c>
      <c r="C403" s="101">
        <v>11.07</v>
      </c>
      <c r="D403" s="101">
        <v>11.07</v>
      </c>
      <c r="E403" s="101">
        <v>18.45</v>
      </c>
      <c r="F403" s="102">
        <v>22.14</v>
      </c>
    </row>
    <row r="404" spans="1:6" ht="15">
      <c r="A404" s="384"/>
      <c r="B404" s="384"/>
      <c r="C404" s="384"/>
      <c r="D404" s="384"/>
      <c r="E404" s="384"/>
      <c r="F404" s="384"/>
    </row>
    <row r="405" spans="1:6" ht="15">
      <c r="A405" s="101">
        <v>379</v>
      </c>
      <c r="B405" s="101">
        <v>349</v>
      </c>
      <c r="C405" s="101">
        <v>11.11</v>
      </c>
      <c r="D405" s="101">
        <v>11.11</v>
      </c>
      <c r="E405" s="101">
        <v>18.52</v>
      </c>
      <c r="F405" s="102">
        <v>22.22</v>
      </c>
    </row>
    <row r="406" spans="1:6" ht="15">
      <c r="A406" s="384"/>
      <c r="B406" s="384"/>
      <c r="C406" s="384"/>
      <c r="D406" s="384"/>
      <c r="E406" s="384"/>
      <c r="F406" s="384"/>
    </row>
    <row r="407" spans="1:6" ht="15">
      <c r="A407" s="101">
        <v>380</v>
      </c>
      <c r="B407" s="101">
        <v>350</v>
      </c>
      <c r="C407" s="101">
        <v>11.14</v>
      </c>
      <c r="D407" s="101">
        <v>11.14</v>
      </c>
      <c r="E407" s="101">
        <v>18.57</v>
      </c>
      <c r="F407" s="102">
        <v>22.28</v>
      </c>
    </row>
    <row r="408" spans="1:6" ht="15">
      <c r="A408" s="384"/>
      <c r="B408" s="384"/>
      <c r="C408" s="384"/>
      <c r="D408" s="384"/>
      <c r="E408" s="384"/>
      <c r="F408" s="384"/>
    </row>
    <row r="409" spans="1:6" ht="15">
      <c r="A409" s="101">
        <v>381</v>
      </c>
      <c r="B409" s="101">
        <v>351</v>
      </c>
      <c r="C409" s="101">
        <v>11.17</v>
      </c>
      <c r="D409" s="101">
        <v>11.17</v>
      </c>
      <c r="E409" s="101">
        <v>18.62</v>
      </c>
      <c r="F409" s="102">
        <v>22.34</v>
      </c>
    </row>
    <row r="410" spans="1:6" ht="15">
      <c r="A410" s="384"/>
      <c r="B410" s="384"/>
      <c r="C410" s="384"/>
      <c r="D410" s="384"/>
      <c r="E410" s="384"/>
      <c r="F410" s="384"/>
    </row>
    <row r="411" spans="1:6" ht="15">
      <c r="A411" s="101">
        <v>382</v>
      </c>
      <c r="B411" s="101">
        <v>352</v>
      </c>
      <c r="C411" s="101">
        <v>11.2</v>
      </c>
      <c r="D411" s="101">
        <v>11.2</v>
      </c>
      <c r="E411" s="101">
        <v>18.67</v>
      </c>
      <c r="F411" s="102">
        <v>22.4</v>
      </c>
    </row>
    <row r="412" spans="1:6" ht="15">
      <c r="A412" s="384"/>
      <c r="B412" s="384"/>
      <c r="C412" s="384"/>
      <c r="D412" s="384"/>
      <c r="E412" s="384"/>
      <c r="F412" s="384"/>
    </row>
    <row r="413" spans="1:6" ht="15">
      <c r="A413" s="101">
        <v>383</v>
      </c>
      <c r="B413" s="101">
        <v>352</v>
      </c>
      <c r="C413" s="101">
        <v>11.2</v>
      </c>
      <c r="D413" s="101">
        <v>11.2</v>
      </c>
      <c r="E413" s="101">
        <v>18.67</v>
      </c>
      <c r="F413" s="102">
        <v>22.4</v>
      </c>
    </row>
    <row r="414" spans="1:6" ht="15">
      <c r="A414" s="384"/>
      <c r="B414" s="384"/>
      <c r="C414" s="384"/>
      <c r="D414" s="384"/>
      <c r="E414" s="384"/>
      <c r="F414" s="384"/>
    </row>
    <row r="415" spans="1:6" ht="15">
      <c r="A415" s="101">
        <v>384</v>
      </c>
      <c r="B415" s="101">
        <v>352</v>
      </c>
      <c r="C415" s="101">
        <v>11.2</v>
      </c>
      <c r="D415" s="101">
        <v>11.2</v>
      </c>
      <c r="E415" s="101">
        <v>18.67</v>
      </c>
      <c r="F415" s="102">
        <v>22.4</v>
      </c>
    </row>
    <row r="416" spans="1:6" ht="15">
      <c r="A416" s="384"/>
      <c r="B416" s="384"/>
      <c r="C416" s="384"/>
      <c r="D416" s="384"/>
      <c r="E416" s="384"/>
      <c r="F416" s="384"/>
    </row>
    <row r="417" spans="1:6" ht="15">
      <c r="A417" s="101">
        <v>385</v>
      </c>
      <c r="B417" s="101">
        <v>353</v>
      </c>
      <c r="C417" s="101">
        <v>11.23</v>
      </c>
      <c r="D417" s="101">
        <v>11.23</v>
      </c>
      <c r="E417" s="101">
        <v>18.72</v>
      </c>
      <c r="F417" s="102">
        <v>22.46</v>
      </c>
    </row>
    <row r="418" spans="1:6" ht="15">
      <c r="A418" s="384"/>
      <c r="B418" s="384"/>
      <c r="C418" s="384"/>
      <c r="D418" s="384"/>
      <c r="E418" s="384"/>
      <c r="F418" s="384"/>
    </row>
    <row r="419" spans="1:6" ht="15">
      <c r="A419" s="101">
        <v>386</v>
      </c>
      <c r="B419" s="101">
        <v>354</v>
      </c>
      <c r="C419" s="101">
        <v>11.27</v>
      </c>
      <c r="D419" s="101">
        <v>11.27</v>
      </c>
      <c r="E419" s="101">
        <v>18.78</v>
      </c>
      <c r="F419" s="102">
        <v>22.54</v>
      </c>
    </row>
    <row r="420" spans="1:6" ht="15">
      <c r="A420" s="384"/>
      <c r="B420" s="384"/>
      <c r="C420" s="384"/>
      <c r="D420" s="384"/>
      <c r="E420" s="384"/>
      <c r="F420" s="384"/>
    </row>
    <row r="421" spans="1:6" ht="15">
      <c r="A421" s="101">
        <v>387</v>
      </c>
      <c r="B421" s="101">
        <v>354</v>
      </c>
      <c r="C421" s="101">
        <v>11.27</v>
      </c>
      <c r="D421" s="101">
        <v>11.27</v>
      </c>
      <c r="E421" s="101">
        <v>18.78</v>
      </c>
      <c r="F421" s="102">
        <v>22.54</v>
      </c>
    </row>
    <row r="422" spans="1:6" ht="15">
      <c r="A422" s="384"/>
      <c r="B422" s="384"/>
      <c r="C422" s="384"/>
      <c r="D422" s="384"/>
      <c r="E422" s="384"/>
      <c r="F422" s="384"/>
    </row>
    <row r="423" spans="1:6" ht="15">
      <c r="A423" s="101">
        <v>388</v>
      </c>
      <c r="B423" s="101">
        <v>355</v>
      </c>
      <c r="C423" s="101">
        <v>11.3</v>
      </c>
      <c r="D423" s="101">
        <v>11.3</v>
      </c>
      <c r="E423" s="101">
        <v>18.83</v>
      </c>
      <c r="F423" s="102">
        <v>22.6</v>
      </c>
    </row>
    <row r="424" spans="1:6" ht="15">
      <c r="A424" s="384"/>
      <c r="B424" s="384"/>
      <c r="C424" s="384"/>
      <c r="D424" s="384"/>
      <c r="E424" s="384"/>
      <c r="F424" s="384"/>
    </row>
    <row r="425" spans="1:6" ht="15">
      <c r="A425" s="101">
        <v>389</v>
      </c>
      <c r="B425" s="101">
        <v>356</v>
      </c>
      <c r="C425" s="101">
        <v>11.33</v>
      </c>
      <c r="D425" s="101">
        <v>11.33</v>
      </c>
      <c r="E425" s="101">
        <v>18.88</v>
      </c>
      <c r="F425" s="102">
        <v>22.66</v>
      </c>
    </row>
    <row r="426" spans="1:6" ht="15">
      <c r="A426" s="384"/>
      <c r="B426" s="384"/>
      <c r="C426" s="384"/>
      <c r="D426" s="384"/>
      <c r="E426" s="384"/>
      <c r="F426" s="384"/>
    </row>
    <row r="427" spans="1:6" ht="15">
      <c r="A427" s="101">
        <v>390</v>
      </c>
      <c r="B427" s="101">
        <v>357</v>
      </c>
      <c r="C427" s="101">
        <v>11.36</v>
      </c>
      <c r="D427" s="101">
        <v>11.36</v>
      </c>
      <c r="E427" s="101">
        <v>18.93</v>
      </c>
      <c r="F427" s="102">
        <v>22.72</v>
      </c>
    </row>
    <row r="428" spans="1:6" ht="15">
      <c r="A428" s="384"/>
      <c r="B428" s="384"/>
      <c r="C428" s="384"/>
      <c r="D428" s="384"/>
      <c r="E428" s="384"/>
      <c r="F428" s="384"/>
    </row>
    <row r="429" spans="1:6" ht="15">
      <c r="A429" s="101">
        <v>391</v>
      </c>
      <c r="B429" s="101">
        <v>357</v>
      </c>
      <c r="C429" s="101">
        <v>11.36</v>
      </c>
      <c r="D429" s="101">
        <v>11.36</v>
      </c>
      <c r="E429" s="101">
        <v>18.93</v>
      </c>
      <c r="F429" s="102">
        <v>22.72</v>
      </c>
    </row>
    <row r="430" spans="1:6" ht="15">
      <c r="A430" s="384"/>
      <c r="B430" s="384"/>
      <c r="C430" s="384"/>
      <c r="D430" s="384"/>
      <c r="E430" s="384"/>
      <c r="F430" s="384"/>
    </row>
    <row r="431" spans="1:6" ht="15">
      <c r="A431" s="101">
        <v>392</v>
      </c>
      <c r="B431" s="101">
        <v>357</v>
      </c>
      <c r="C431" s="101">
        <v>11.36</v>
      </c>
      <c r="D431" s="101">
        <v>11.36</v>
      </c>
      <c r="E431" s="101">
        <v>18.93</v>
      </c>
      <c r="F431" s="102">
        <v>22.72</v>
      </c>
    </row>
    <row r="432" spans="1:6" ht="15">
      <c r="A432" s="384"/>
      <c r="B432" s="384"/>
      <c r="C432" s="384"/>
      <c r="D432" s="384"/>
      <c r="E432" s="384"/>
      <c r="F432" s="384"/>
    </row>
    <row r="433" spans="1:6" ht="15">
      <c r="A433" s="101">
        <v>393</v>
      </c>
      <c r="B433" s="101">
        <v>358</v>
      </c>
      <c r="C433" s="101">
        <v>11.39</v>
      </c>
      <c r="D433" s="101">
        <v>11.39</v>
      </c>
      <c r="E433" s="101">
        <v>18.98</v>
      </c>
      <c r="F433" s="102">
        <v>22.78</v>
      </c>
    </row>
    <row r="434" spans="1:6" ht="15">
      <c r="A434" s="384"/>
      <c r="B434" s="384"/>
      <c r="C434" s="384"/>
      <c r="D434" s="384"/>
      <c r="E434" s="384"/>
      <c r="F434" s="384"/>
    </row>
    <row r="435" spans="1:6" ht="15">
      <c r="A435" s="101">
        <v>394</v>
      </c>
      <c r="B435" s="101">
        <v>359</v>
      </c>
      <c r="C435" s="101">
        <v>11.42</v>
      </c>
      <c r="D435" s="101">
        <v>11.42</v>
      </c>
      <c r="E435" s="101">
        <v>19.03</v>
      </c>
      <c r="F435" s="102">
        <v>22.84</v>
      </c>
    </row>
    <row r="436" spans="1:6" ht="15">
      <c r="A436" s="384"/>
      <c r="B436" s="384"/>
      <c r="C436" s="384"/>
      <c r="D436" s="384"/>
      <c r="E436" s="384"/>
      <c r="F436" s="384"/>
    </row>
    <row r="437" spans="1:6" ht="15">
      <c r="A437" s="101">
        <v>395</v>
      </c>
      <c r="B437" s="101">
        <v>359</v>
      </c>
      <c r="C437" s="101">
        <v>11.42</v>
      </c>
      <c r="D437" s="101">
        <v>11.42</v>
      </c>
      <c r="E437" s="101">
        <v>19.03</v>
      </c>
      <c r="F437" s="102">
        <v>22.84</v>
      </c>
    </row>
    <row r="438" spans="1:6" ht="15">
      <c r="A438" s="384"/>
      <c r="B438" s="384"/>
      <c r="C438" s="384"/>
      <c r="D438" s="384"/>
      <c r="E438" s="384"/>
      <c r="F438" s="384"/>
    </row>
    <row r="439" spans="1:6" ht="15">
      <c r="A439" s="101">
        <v>396</v>
      </c>
      <c r="B439" s="101">
        <v>360</v>
      </c>
      <c r="C439" s="101">
        <v>11.46</v>
      </c>
      <c r="D439" s="101">
        <v>11.46</v>
      </c>
      <c r="E439" s="101">
        <v>19.1</v>
      </c>
      <c r="F439" s="102">
        <v>22.92</v>
      </c>
    </row>
    <row r="440" spans="1:6" ht="15">
      <c r="A440" s="384"/>
      <c r="B440" s="384"/>
      <c r="C440" s="384"/>
      <c r="D440" s="384"/>
      <c r="E440" s="384"/>
      <c r="F440" s="384"/>
    </row>
    <row r="441" spans="1:6" ht="15">
      <c r="A441" s="101">
        <v>397</v>
      </c>
      <c r="B441" s="101">
        <v>361</v>
      </c>
      <c r="C441" s="101">
        <v>11.49</v>
      </c>
      <c r="D441" s="101">
        <v>11.49</v>
      </c>
      <c r="E441" s="101">
        <v>19.15</v>
      </c>
      <c r="F441" s="102">
        <v>22.98</v>
      </c>
    </row>
    <row r="442" spans="1:6" ht="15">
      <c r="A442" s="384"/>
      <c r="B442" s="384"/>
      <c r="C442" s="384"/>
      <c r="D442" s="384"/>
      <c r="E442" s="384"/>
      <c r="F442" s="384"/>
    </row>
    <row r="443" spans="1:6" ht="15">
      <c r="A443" s="101">
        <v>398</v>
      </c>
      <c r="B443" s="101">
        <v>362</v>
      </c>
      <c r="C443" s="101">
        <v>11.52</v>
      </c>
      <c r="D443" s="101">
        <v>11.52</v>
      </c>
      <c r="E443" s="101">
        <v>19.2</v>
      </c>
      <c r="F443" s="102">
        <v>23.04</v>
      </c>
    </row>
    <row r="444" spans="1:6" ht="15">
      <c r="A444" s="384"/>
      <c r="B444" s="384"/>
      <c r="C444" s="384"/>
      <c r="D444" s="384"/>
      <c r="E444" s="384"/>
      <c r="F444" s="384"/>
    </row>
    <row r="445" spans="1:6" ht="15">
      <c r="A445" s="101">
        <v>399</v>
      </c>
      <c r="B445" s="101">
        <v>362</v>
      </c>
      <c r="C445" s="101">
        <v>11.52</v>
      </c>
      <c r="D445" s="101">
        <v>11.52</v>
      </c>
      <c r="E445" s="101">
        <v>19.2</v>
      </c>
      <c r="F445" s="102">
        <v>23.04</v>
      </c>
    </row>
    <row r="446" spans="1:6" ht="15">
      <c r="A446" s="384"/>
      <c r="B446" s="384"/>
      <c r="C446" s="384"/>
      <c r="D446" s="384"/>
      <c r="E446" s="384"/>
      <c r="F446" s="384"/>
    </row>
    <row r="447" spans="1:6" ht="15">
      <c r="A447" s="101">
        <v>400</v>
      </c>
      <c r="B447" s="101">
        <v>363</v>
      </c>
      <c r="C447" s="101">
        <v>11.55</v>
      </c>
      <c r="D447" s="101">
        <v>11.55</v>
      </c>
      <c r="E447" s="101">
        <v>19.25</v>
      </c>
      <c r="F447" s="102">
        <v>23.1</v>
      </c>
    </row>
    <row r="448" spans="1:6" ht="15">
      <c r="A448" s="384"/>
      <c r="B448" s="384"/>
      <c r="C448" s="384"/>
      <c r="D448" s="384"/>
      <c r="E448" s="384"/>
      <c r="F448" s="384"/>
    </row>
    <row r="449" spans="1:6" ht="15">
      <c r="A449" s="101">
        <v>401</v>
      </c>
      <c r="B449" s="101">
        <v>363</v>
      </c>
      <c r="C449" s="101">
        <v>11.55</v>
      </c>
      <c r="D449" s="101">
        <v>11.55</v>
      </c>
      <c r="E449" s="101">
        <v>19.25</v>
      </c>
      <c r="F449" s="102">
        <v>23.1</v>
      </c>
    </row>
    <row r="450" spans="1:6" ht="15">
      <c r="A450" s="384"/>
      <c r="B450" s="384"/>
      <c r="C450" s="384"/>
      <c r="D450" s="384"/>
      <c r="E450" s="384"/>
      <c r="F450" s="384"/>
    </row>
    <row r="451" spans="1:6" ht="15">
      <c r="A451" s="101">
        <v>402</v>
      </c>
      <c r="B451" s="101">
        <v>364</v>
      </c>
      <c r="C451" s="101">
        <v>11.58</v>
      </c>
      <c r="D451" s="101">
        <v>11.58</v>
      </c>
      <c r="E451" s="101">
        <v>19.3</v>
      </c>
      <c r="F451" s="102">
        <v>23.16</v>
      </c>
    </row>
    <row r="452" spans="1:6" ht="15">
      <c r="A452" s="384"/>
      <c r="B452" s="384"/>
      <c r="C452" s="384"/>
      <c r="D452" s="384"/>
      <c r="E452" s="384"/>
      <c r="F452" s="384"/>
    </row>
    <row r="453" spans="1:6" ht="15">
      <c r="A453" s="101">
        <v>403</v>
      </c>
      <c r="B453" s="101">
        <v>364</v>
      </c>
      <c r="C453" s="101">
        <v>11.58</v>
      </c>
      <c r="D453" s="101">
        <v>11.58</v>
      </c>
      <c r="E453" s="101">
        <v>19.3</v>
      </c>
      <c r="F453" s="102">
        <v>23.16</v>
      </c>
    </row>
    <row r="454" spans="1:6" ht="15">
      <c r="A454" s="384"/>
      <c r="B454" s="384"/>
      <c r="C454" s="384"/>
      <c r="D454" s="384"/>
      <c r="E454" s="384"/>
      <c r="F454" s="384"/>
    </row>
    <row r="455" spans="1:6" ht="15">
      <c r="A455" s="101">
        <v>404</v>
      </c>
      <c r="B455" s="101">
        <v>365</v>
      </c>
      <c r="C455" s="101">
        <v>11.62</v>
      </c>
      <c r="D455" s="101">
        <v>11.62</v>
      </c>
      <c r="E455" s="101">
        <v>19.37</v>
      </c>
      <c r="F455" s="102">
        <v>23.24</v>
      </c>
    </row>
    <row r="456" spans="1:6" ht="15">
      <c r="A456" s="384"/>
      <c r="B456" s="384"/>
      <c r="C456" s="384"/>
      <c r="D456" s="384"/>
      <c r="E456" s="384"/>
      <c r="F456" s="384"/>
    </row>
    <row r="457" spans="1:6" ht="15">
      <c r="A457" s="101">
        <v>405</v>
      </c>
      <c r="B457" s="101">
        <v>366</v>
      </c>
      <c r="C457" s="101">
        <v>11.65</v>
      </c>
      <c r="D457" s="101">
        <v>11.65</v>
      </c>
      <c r="E457" s="101">
        <v>19.42</v>
      </c>
      <c r="F457" s="102">
        <v>23.3</v>
      </c>
    </row>
    <row r="458" spans="1:6" ht="15">
      <c r="A458" s="384"/>
      <c r="B458" s="384"/>
      <c r="C458" s="384"/>
      <c r="D458" s="384"/>
      <c r="E458" s="384"/>
      <c r="F458" s="384"/>
    </row>
    <row r="459" spans="1:6" ht="15">
      <c r="A459" s="101">
        <v>406</v>
      </c>
      <c r="B459" s="101">
        <v>366</v>
      </c>
      <c r="C459" s="101">
        <v>11.65</v>
      </c>
      <c r="D459" s="101">
        <v>11.65</v>
      </c>
      <c r="E459" s="101">
        <v>19.42</v>
      </c>
      <c r="F459" s="102">
        <v>23.3</v>
      </c>
    </row>
    <row r="460" spans="1:6" ht="15">
      <c r="A460" s="384"/>
      <c r="B460" s="384"/>
      <c r="C460" s="384"/>
      <c r="D460" s="384"/>
      <c r="E460" s="384"/>
      <c r="F460" s="384"/>
    </row>
    <row r="461" spans="1:6" ht="15">
      <c r="A461" s="101">
        <v>407</v>
      </c>
      <c r="B461" s="101">
        <v>367</v>
      </c>
      <c r="C461" s="101">
        <v>11.68</v>
      </c>
      <c r="D461" s="101">
        <v>11.68</v>
      </c>
      <c r="E461" s="101">
        <v>19.47</v>
      </c>
      <c r="F461" s="102">
        <v>23.36</v>
      </c>
    </row>
    <row r="462" spans="1:6" ht="15">
      <c r="A462" s="384"/>
      <c r="B462" s="384"/>
      <c r="C462" s="384"/>
      <c r="D462" s="384"/>
      <c r="E462" s="384"/>
      <c r="F462" s="384"/>
    </row>
    <row r="463" spans="1:6" ht="15">
      <c r="A463" s="101">
        <v>408</v>
      </c>
      <c r="B463" s="101">
        <v>367</v>
      </c>
      <c r="C463" s="101">
        <v>11.68</v>
      </c>
      <c r="D463" s="101">
        <v>11.68</v>
      </c>
      <c r="E463" s="101">
        <v>19.47</v>
      </c>
      <c r="F463" s="102">
        <v>23.36</v>
      </c>
    </row>
    <row r="464" spans="1:6" ht="15">
      <c r="A464" s="384"/>
      <c r="B464" s="384"/>
      <c r="C464" s="384"/>
      <c r="D464" s="384"/>
      <c r="E464" s="384"/>
      <c r="F464" s="384"/>
    </row>
    <row r="465" spans="1:6" ht="15">
      <c r="A465" s="101">
        <v>409</v>
      </c>
      <c r="B465" s="101">
        <v>368</v>
      </c>
      <c r="C465" s="101">
        <v>11.71</v>
      </c>
      <c r="D465" s="101">
        <v>11.71</v>
      </c>
      <c r="E465" s="101">
        <v>19.52</v>
      </c>
      <c r="F465" s="102">
        <v>23.42</v>
      </c>
    </row>
    <row r="466" spans="1:6" ht="15">
      <c r="A466" s="384"/>
      <c r="B466" s="384"/>
      <c r="C466" s="384"/>
      <c r="D466" s="384"/>
      <c r="E466" s="384"/>
      <c r="F466" s="384"/>
    </row>
    <row r="467" spans="1:6" ht="15">
      <c r="A467" s="101">
        <v>410</v>
      </c>
      <c r="B467" s="101">
        <v>368</v>
      </c>
      <c r="C467" s="101">
        <v>11.71</v>
      </c>
      <c r="D467" s="101">
        <v>11.71</v>
      </c>
      <c r="E467" s="101">
        <v>19.52</v>
      </c>
      <c r="F467" s="102">
        <v>23.42</v>
      </c>
    </row>
    <row r="468" spans="1:6" ht="15">
      <c r="A468" s="384"/>
      <c r="B468" s="384"/>
      <c r="C468" s="384"/>
      <c r="D468" s="384"/>
      <c r="E468" s="384"/>
      <c r="F468" s="384"/>
    </row>
    <row r="469" spans="1:6" ht="15">
      <c r="A469" s="101">
        <v>411</v>
      </c>
      <c r="B469" s="101">
        <v>368</v>
      </c>
      <c r="C469" s="101">
        <v>11.71</v>
      </c>
      <c r="D469" s="101">
        <v>11.71</v>
      </c>
      <c r="E469" s="101">
        <v>19.52</v>
      </c>
      <c r="F469" s="102">
        <v>23.42</v>
      </c>
    </row>
    <row r="470" spans="1:6" ht="15">
      <c r="A470" s="384"/>
      <c r="B470" s="384"/>
      <c r="C470" s="384"/>
      <c r="D470" s="384"/>
      <c r="E470" s="384"/>
      <c r="F470" s="384"/>
    </row>
    <row r="471" spans="1:6" ht="15">
      <c r="A471" s="101">
        <v>412</v>
      </c>
      <c r="B471" s="101">
        <v>368</v>
      </c>
      <c r="C471" s="101">
        <v>11.71</v>
      </c>
      <c r="D471" s="101">
        <v>11.71</v>
      </c>
      <c r="E471" s="101">
        <v>19.52</v>
      </c>
      <c r="F471" s="102">
        <v>23.42</v>
      </c>
    </row>
    <row r="472" spans="1:6" ht="15">
      <c r="A472" s="384"/>
      <c r="B472" s="384"/>
      <c r="C472" s="384"/>
      <c r="D472" s="384"/>
      <c r="E472" s="384"/>
      <c r="F472" s="384"/>
    </row>
    <row r="473" spans="1:6" ht="15">
      <c r="A473" s="101">
        <v>413</v>
      </c>
      <c r="B473" s="101">
        <v>369</v>
      </c>
      <c r="C473" s="101">
        <v>11.74</v>
      </c>
      <c r="D473" s="101">
        <v>11.74</v>
      </c>
      <c r="E473" s="101">
        <v>19.57</v>
      </c>
      <c r="F473" s="102">
        <v>23.48</v>
      </c>
    </row>
    <row r="474" spans="1:6" ht="15">
      <c r="A474" s="384"/>
      <c r="B474" s="384"/>
      <c r="C474" s="384"/>
      <c r="D474" s="384"/>
      <c r="E474" s="384"/>
      <c r="F474" s="384"/>
    </row>
    <row r="475" spans="1:6" ht="15">
      <c r="A475" s="101">
        <v>414</v>
      </c>
      <c r="B475" s="101">
        <v>369</v>
      </c>
      <c r="C475" s="101">
        <v>11.74</v>
      </c>
      <c r="D475" s="101">
        <v>11.74</v>
      </c>
      <c r="E475" s="101">
        <v>19.57</v>
      </c>
      <c r="F475" s="102">
        <v>23.48</v>
      </c>
    </row>
    <row r="476" spans="1:6" ht="15">
      <c r="A476" s="384"/>
      <c r="B476" s="384"/>
      <c r="C476" s="384"/>
      <c r="D476" s="384"/>
      <c r="E476" s="384"/>
      <c r="F476" s="384"/>
    </row>
    <row r="477" spans="1:6" ht="15">
      <c r="A477" s="101">
        <v>415</v>
      </c>
      <c r="B477" s="101">
        <v>369</v>
      </c>
      <c r="C477" s="101">
        <v>11.74</v>
      </c>
      <c r="D477" s="101">
        <v>11.74</v>
      </c>
      <c r="E477" s="101">
        <v>19.57</v>
      </c>
      <c r="F477" s="102">
        <v>23.48</v>
      </c>
    </row>
    <row r="478" spans="1:6" ht="15">
      <c r="A478" s="384"/>
      <c r="B478" s="384"/>
      <c r="C478" s="384"/>
      <c r="D478" s="384"/>
      <c r="E478" s="384"/>
      <c r="F478" s="384"/>
    </row>
    <row r="479" spans="1:6" ht="15">
      <c r="A479" s="101">
        <v>416</v>
      </c>
      <c r="B479" s="101">
        <v>370</v>
      </c>
      <c r="C479" s="101">
        <v>11.77</v>
      </c>
      <c r="D479" s="101">
        <v>11.77</v>
      </c>
      <c r="E479" s="101">
        <v>19.62</v>
      </c>
      <c r="F479" s="102">
        <v>23.54</v>
      </c>
    </row>
    <row r="480" spans="1:6" ht="15">
      <c r="A480" s="384"/>
      <c r="B480" s="384"/>
      <c r="C480" s="384"/>
      <c r="D480" s="384"/>
      <c r="E480" s="384"/>
      <c r="F480" s="384"/>
    </row>
    <row r="481" spans="1:6" ht="15">
      <c r="A481" s="101">
        <v>417</v>
      </c>
      <c r="B481" s="101">
        <v>371</v>
      </c>
      <c r="C481" s="101">
        <v>11.81</v>
      </c>
      <c r="D481" s="101">
        <v>11.81</v>
      </c>
      <c r="E481" s="101">
        <v>19.68</v>
      </c>
      <c r="F481" s="102">
        <v>23.62</v>
      </c>
    </row>
    <row r="482" spans="1:6" ht="15">
      <c r="A482" s="384"/>
      <c r="B482" s="384"/>
      <c r="C482" s="384"/>
      <c r="D482" s="384"/>
      <c r="E482" s="384"/>
      <c r="F482" s="384"/>
    </row>
    <row r="483" spans="1:6" ht="15">
      <c r="A483" s="101">
        <v>418</v>
      </c>
      <c r="B483" s="101">
        <v>371</v>
      </c>
      <c r="C483" s="101">
        <v>11.81</v>
      </c>
      <c r="D483" s="101">
        <v>11.81</v>
      </c>
      <c r="E483" s="101">
        <v>19.68</v>
      </c>
      <c r="F483" s="102">
        <v>23.62</v>
      </c>
    </row>
    <row r="484" spans="1:6" ht="15">
      <c r="A484" s="384"/>
      <c r="B484" s="384"/>
      <c r="C484" s="384"/>
      <c r="D484" s="384"/>
      <c r="E484" s="384"/>
      <c r="F484" s="384"/>
    </row>
    <row r="485" spans="1:6" ht="15">
      <c r="A485" s="101">
        <v>419</v>
      </c>
      <c r="B485" s="101">
        <v>372</v>
      </c>
      <c r="C485" s="101">
        <v>11.84</v>
      </c>
      <c r="D485" s="101">
        <v>11.84</v>
      </c>
      <c r="E485" s="101">
        <v>19.73</v>
      </c>
      <c r="F485" s="102">
        <v>23.68</v>
      </c>
    </row>
    <row r="486" spans="1:6" ht="15">
      <c r="A486" s="384"/>
      <c r="B486" s="384"/>
      <c r="C486" s="384"/>
      <c r="D486" s="384"/>
      <c r="E486" s="384"/>
      <c r="F486" s="384"/>
    </row>
    <row r="487" spans="1:6" ht="15">
      <c r="A487" s="101">
        <v>420</v>
      </c>
      <c r="B487" s="101">
        <v>373</v>
      </c>
      <c r="C487" s="101">
        <v>11.87</v>
      </c>
      <c r="D487" s="101">
        <v>11.87</v>
      </c>
      <c r="E487" s="101">
        <v>19.78</v>
      </c>
      <c r="F487" s="102">
        <v>23.74</v>
      </c>
    </row>
    <row r="488" spans="1:6" ht="15">
      <c r="A488" s="384"/>
      <c r="B488" s="384"/>
      <c r="C488" s="384"/>
      <c r="D488" s="384"/>
      <c r="E488" s="384"/>
      <c r="F488" s="384"/>
    </row>
    <row r="489" spans="1:6" ht="15">
      <c r="A489" s="101">
        <v>421</v>
      </c>
      <c r="B489" s="101">
        <v>374</v>
      </c>
      <c r="C489" s="101">
        <v>11.9</v>
      </c>
      <c r="D489" s="101">
        <v>11.9</v>
      </c>
      <c r="E489" s="101">
        <v>19.83</v>
      </c>
      <c r="F489" s="102">
        <v>23.8</v>
      </c>
    </row>
    <row r="490" spans="1:6" ht="15">
      <c r="A490" s="384"/>
      <c r="B490" s="384"/>
      <c r="C490" s="384"/>
      <c r="D490" s="384"/>
      <c r="E490" s="384"/>
      <c r="F490" s="384"/>
    </row>
    <row r="491" spans="1:6" ht="15">
      <c r="A491" s="101">
        <v>422</v>
      </c>
      <c r="B491" s="101">
        <v>375</v>
      </c>
      <c r="C491" s="101">
        <v>11.93</v>
      </c>
      <c r="D491" s="101">
        <v>11.93</v>
      </c>
      <c r="E491" s="101">
        <v>19.88</v>
      </c>
      <c r="F491" s="102">
        <v>23.86</v>
      </c>
    </row>
    <row r="492" spans="1:6" ht="15">
      <c r="A492" s="384"/>
      <c r="B492" s="384"/>
      <c r="C492" s="384"/>
      <c r="D492" s="384"/>
      <c r="E492" s="384"/>
      <c r="F492" s="384"/>
    </row>
    <row r="493" spans="1:6" ht="15">
      <c r="A493" s="101">
        <v>423</v>
      </c>
      <c r="B493" s="101">
        <v>376</v>
      </c>
      <c r="C493" s="101">
        <v>11.97</v>
      </c>
      <c r="D493" s="101">
        <v>11.97</v>
      </c>
      <c r="E493" s="101">
        <v>19.95</v>
      </c>
      <c r="F493" s="102">
        <v>23.94</v>
      </c>
    </row>
    <row r="494" spans="1:6" ht="15">
      <c r="A494" s="384"/>
      <c r="B494" s="384"/>
      <c r="C494" s="384"/>
      <c r="D494" s="384"/>
      <c r="E494" s="384"/>
      <c r="F494" s="384"/>
    </row>
    <row r="495" spans="1:6" ht="15">
      <c r="A495" s="101">
        <v>424</v>
      </c>
      <c r="B495" s="101">
        <v>377</v>
      </c>
      <c r="C495" s="101">
        <v>12</v>
      </c>
      <c r="D495" s="101">
        <v>12</v>
      </c>
      <c r="E495" s="101">
        <v>20</v>
      </c>
      <c r="F495" s="102">
        <v>24</v>
      </c>
    </row>
    <row r="496" spans="1:6" ht="15">
      <c r="A496" s="384"/>
      <c r="B496" s="384"/>
      <c r="C496" s="384"/>
      <c r="D496" s="384"/>
      <c r="E496" s="384"/>
      <c r="F496" s="384"/>
    </row>
    <row r="497" spans="1:6" ht="15">
      <c r="A497" s="101">
        <v>425</v>
      </c>
      <c r="B497" s="101">
        <v>377</v>
      </c>
      <c r="C497" s="101">
        <v>12</v>
      </c>
      <c r="D497" s="101">
        <v>12</v>
      </c>
      <c r="E497" s="101">
        <v>20</v>
      </c>
      <c r="F497" s="102">
        <v>24</v>
      </c>
    </row>
    <row r="498" spans="1:6" ht="15">
      <c r="A498" s="384"/>
      <c r="B498" s="384"/>
      <c r="C498" s="384"/>
      <c r="D498" s="384"/>
      <c r="E498" s="384"/>
      <c r="F498" s="384"/>
    </row>
    <row r="499" spans="1:6" ht="15">
      <c r="A499" s="101">
        <v>426</v>
      </c>
      <c r="B499" s="101">
        <v>378</v>
      </c>
      <c r="C499" s="101">
        <v>12.03</v>
      </c>
      <c r="D499" s="101">
        <v>12.03</v>
      </c>
      <c r="E499" s="101">
        <v>20.05</v>
      </c>
      <c r="F499" s="102">
        <v>24.06</v>
      </c>
    </row>
    <row r="500" spans="1:6" ht="15">
      <c r="A500" s="384"/>
      <c r="B500" s="384"/>
      <c r="C500" s="384"/>
      <c r="D500" s="384"/>
      <c r="E500" s="384"/>
      <c r="F500" s="384"/>
    </row>
    <row r="501" spans="1:6" ht="15">
      <c r="A501" s="101">
        <v>427</v>
      </c>
      <c r="B501" s="101">
        <v>379</v>
      </c>
      <c r="C501" s="101">
        <v>12.06</v>
      </c>
      <c r="D501" s="101">
        <v>12.06</v>
      </c>
      <c r="E501" s="101">
        <v>20.1</v>
      </c>
      <c r="F501" s="102">
        <v>24.12</v>
      </c>
    </row>
    <row r="502" spans="1:6" ht="15">
      <c r="A502" s="384"/>
      <c r="B502" s="384"/>
      <c r="C502" s="384"/>
      <c r="D502" s="384"/>
      <c r="E502" s="384"/>
      <c r="F502" s="384"/>
    </row>
    <row r="503" spans="1:6" ht="15">
      <c r="A503" s="101">
        <v>428</v>
      </c>
      <c r="B503" s="101">
        <v>379</v>
      </c>
      <c r="C503" s="101">
        <v>12.06</v>
      </c>
      <c r="D503" s="101">
        <v>12.06</v>
      </c>
      <c r="E503" s="101">
        <v>20.1</v>
      </c>
      <c r="F503" s="102">
        <v>24.12</v>
      </c>
    </row>
    <row r="504" spans="1:6" ht="15">
      <c r="A504" s="384"/>
      <c r="B504" s="384"/>
      <c r="C504" s="384"/>
      <c r="D504" s="384"/>
      <c r="E504" s="384"/>
      <c r="F504" s="384"/>
    </row>
    <row r="505" spans="1:6" ht="15">
      <c r="A505" s="101">
        <v>429</v>
      </c>
      <c r="B505" s="101">
        <v>379</v>
      </c>
      <c r="C505" s="101">
        <v>12.06</v>
      </c>
      <c r="D505" s="101">
        <v>12.06</v>
      </c>
      <c r="E505" s="101">
        <v>20.1</v>
      </c>
      <c r="F505" s="102">
        <v>24.12</v>
      </c>
    </row>
    <row r="506" spans="1:6" ht="15">
      <c r="A506" s="384"/>
      <c r="B506" s="384"/>
      <c r="C506" s="384"/>
      <c r="D506" s="384"/>
      <c r="E506" s="384"/>
      <c r="F506" s="384"/>
    </row>
    <row r="507" spans="1:6" ht="15">
      <c r="A507" s="101">
        <v>430</v>
      </c>
      <c r="B507" s="101">
        <v>380</v>
      </c>
      <c r="C507" s="101">
        <v>12.09</v>
      </c>
      <c r="D507" s="101">
        <v>12.09</v>
      </c>
      <c r="E507" s="101">
        <v>20.15</v>
      </c>
      <c r="F507" s="102">
        <v>24.18</v>
      </c>
    </row>
    <row r="508" spans="1:6" ht="15">
      <c r="A508" s="384"/>
      <c r="B508" s="384"/>
      <c r="C508" s="384"/>
      <c r="D508" s="384"/>
      <c r="E508" s="384"/>
      <c r="F508" s="384"/>
    </row>
    <row r="509" spans="1:6" ht="15">
      <c r="A509" s="101">
        <v>431</v>
      </c>
      <c r="B509" s="101">
        <v>381</v>
      </c>
      <c r="C509" s="101">
        <v>12.12</v>
      </c>
      <c r="D509" s="101">
        <v>12.12</v>
      </c>
      <c r="E509" s="101">
        <v>20.2</v>
      </c>
      <c r="F509" s="102">
        <v>24.24</v>
      </c>
    </row>
    <row r="510" spans="1:6" ht="15">
      <c r="A510" s="384"/>
      <c r="B510" s="384"/>
      <c r="C510" s="384"/>
      <c r="D510" s="384"/>
      <c r="E510" s="384"/>
      <c r="F510" s="384"/>
    </row>
    <row r="511" spans="1:6" ht="15">
      <c r="A511" s="101">
        <v>432</v>
      </c>
      <c r="B511" s="101">
        <v>382</v>
      </c>
      <c r="C511" s="101">
        <v>12.16</v>
      </c>
      <c r="D511" s="101">
        <v>12.16</v>
      </c>
      <c r="E511" s="101">
        <v>20.27</v>
      </c>
      <c r="F511" s="102">
        <v>24.32</v>
      </c>
    </row>
    <row r="512" spans="1:6" ht="15">
      <c r="A512" s="384"/>
      <c r="B512" s="384"/>
      <c r="C512" s="384"/>
      <c r="D512" s="384"/>
      <c r="E512" s="384"/>
      <c r="F512" s="384"/>
    </row>
    <row r="513" spans="1:6" ht="15">
      <c r="A513" s="101">
        <v>433</v>
      </c>
      <c r="B513" s="101">
        <v>382</v>
      </c>
      <c r="C513" s="101">
        <v>12.16</v>
      </c>
      <c r="D513" s="101">
        <v>12.16</v>
      </c>
      <c r="E513" s="101">
        <v>20.27</v>
      </c>
      <c r="F513" s="102">
        <v>24.32</v>
      </c>
    </row>
    <row r="514" spans="1:6" ht="15">
      <c r="A514" s="384"/>
      <c r="B514" s="384"/>
      <c r="C514" s="384"/>
      <c r="D514" s="384"/>
      <c r="E514" s="384"/>
      <c r="F514" s="384"/>
    </row>
    <row r="515" spans="1:6" ht="15">
      <c r="A515" s="101">
        <v>434</v>
      </c>
      <c r="B515" s="101">
        <v>383</v>
      </c>
      <c r="C515" s="101">
        <v>12.19</v>
      </c>
      <c r="D515" s="101">
        <v>12.19</v>
      </c>
      <c r="E515" s="101">
        <v>20.32</v>
      </c>
      <c r="F515" s="102">
        <v>24.38</v>
      </c>
    </row>
    <row r="516" spans="1:6" ht="15">
      <c r="A516" s="384"/>
      <c r="B516" s="384"/>
      <c r="C516" s="384"/>
      <c r="D516" s="384"/>
      <c r="E516" s="384"/>
      <c r="F516" s="384"/>
    </row>
    <row r="517" spans="1:6" ht="15">
      <c r="A517" s="101">
        <v>435</v>
      </c>
      <c r="B517" s="101">
        <v>384</v>
      </c>
      <c r="C517" s="101">
        <v>12.22</v>
      </c>
      <c r="D517" s="101">
        <v>12.22</v>
      </c>
      <c r="E517" s="101">
        <v>20.37</v>
      </c>
      <c r="F517" s="102">
        <v>24.44</v>
      </c>
    </row>
    <row r="518" spans="1:6" ht="15">
      <c r="A518" s="384"/>
      <c r="B518" s="384"/>
      <c r="C518" s="384"/>
      <c r="D518" s="384"/>
      <c r="E518" s="384"/>
      <c r="F518" s="384"/>
    </row>
    <row r="519" spans="1:6" ht="15">
      <c r="A519" s="101">
        <v>436</v>
      </c>
      <c r="B519" s="101">
        <v>384</v>
      </c>
      <c r="C519" s="101">
        <v>12.22</v>
      </c>
      <c r="D519" s="101">
        <v>12.22</v>
      </c>
      <c r="E519" s="101">
        <v>20.37</v>
      </c>
      <c r="F519" s="102">
        <v>24.44</v>
      </c>
    </row>
    <row r="520" spans="1:6" ht="15">
      <c r="A520" s="384"/>
      <c r="B520" s="384"/>
      <c r="C520" s="384"/>
      <c r="D520" s="384"/>
      <c r="E520" s="384"/>
      <c r="F520" s="384"/>
    </row>
    <row r="521" spans="1:6" ht="15">
      <c r="A521" s="101">
        <v>437</v>
      </c>
      <c r="B521" s="101">
        <v>385</v>
      </c>
      <c r="C521" s="101">
        <v>12.25</v>
      </c>
      <c r="D521" s="101">
        <v>12.25</v>
      </c>
      <c r="E521" s="101">
        <v>20.42</v>
      </c>
      <c r="F521" s="102">
        <v>24.5</v>
      </c>
    </row>
    <row r="522" spans="1:6" ht="15">
      <c r="A522" s="384"/>
      <c r="B522" s="384"/>
      <c r="C522" s="384"/>
      <c r="D522" s="384"/>
      <c r="E522" s="384"/>
      <c r="F522" s="384"/>
    </row>
    <row r="523" spans="1:6" ht="15">
      <c r="A523" s="101">
        <v>438</v>
      </c>
      <c r="B523" s="101">
        <v>386</v>
      </c>
      <c r="C523" s="101">
        <v>12.28</v>
      </c>
      <c r="D523" s="101">
        <v>12.28</v>
      </c>
      <c r="E523" s="101">
        <v>20.47</v>
      </c>
      <c r="F523" s="102">
        <v>24.56</v>
      </c>
    </row>
    <row r="524" spans="1:6" ht="15">
      <c r="A524" s="384"/>
      <c r="B524" s="384"/>
      <c r="C524" s="384"/>
      <c r="D524" s="384"/>
      <c r="E524" s="384"/>
      <c r="F524" s="384"/>
    </row>
    <row r="525" spans="1:6" ht="15">
      <c r="A525" s="101">
        <v>439</v>
      </c>
      <c r="B525" s="101">
        <v>387</v>
      </c>
      <c r="C525" s="101">
        <v>12.32</v>
      </c>
      <c r="D525" s="101">
        <v>12.32</v>
      </c>
      <c r="E525" s="101">
        <v>20.53</v>
      </c>
      <c r="F525" s="102">
        <v>24.64</v>
      </c>
    </row>
    <row r="526" spans="1:6" ht="15">
      <c r="A526" s="384"/>
      <c r="B526" s="384"/>
      <c r="C526" s="384"/>
      <c r="D526" s="384"/>
      <c r="E526" s="384"/>
      <c r="F526" s="384"/>
    </row>
    <row r="527" spans="1:6" ht="15">
      <c r="A527" s="101">
        <v>440</v>
      </c>
      <c r="B527" s="101">
        <v>387</v>
      </c>
      <c r="C527" s="101">
        <v>12.32</v>
      </c>
      <c r="D527" s="101">
        <v>12.32</v>
      </c>
      <c r="E527" s="101">
        <v>20.53</v>
      </c>
      <c r="F527" s="102">
        <v>24.64</v>
      </c>
    </row>
    <row r="528" spans="1:6" ht="15">
      <c r="A528" s="384"/>
      <c r="B528" s="384"/>
      <c r="C528" s="384"/>
      <c r="D528" s="384"/>
      <c r="E528" s="384"/>
      <c r="F528" s="384"/>
    </row>
    <row r="529" spans="1:6" ht="15">
      <c r="A529" s="101">
        <v>441</v>
      </c>
      <c r="B529" s="101">
        <v>388</v>
      </c>
      <c r="C529" s="101">
        <v>12.35</v>
      </c>
      <c r="D529" s="101">
        <v>12.35</v>
      </c>
      <c r="E529" s="101">
        <v>20.58</v>
      </c>
      <c r="F529" s="102">
        <v>24.7</v>
      </c>
    </row>
    <row r="530" spans="1:6" ht="15">
      <c r="A530" s="384"/>
      <c r="B530" s="384"/>
      <c r="C530" s="384"/>
      <c r="D530" s="384"/>
      <c r="E530" s="384"/>
      <c r="F530" s="384"/>
    </row>
    <row r="531" spans="1:6" ht="15">
      <c r="A531" s="101">
        <v>442</v>
      </c>
      <c r="B531" s="101">
        <v>389</v>
      </c>
      <c r="C531" s="101">
        <v>12.38</v>
      </c>
      <c r="D531" s="101">
        <v>12.38</v>
      </c>
      <c r="E531" s="101">
        <v>20.63</v>
      </c>
      <c r="F531" s="102">
        <v>24.76</v>
      </c>
    </row>
    <row r="532" spans="1:6" ht="15">
      <c r="A532" s="384"/>
      <c r="B532" s="384"/>
      <c r="C532" s="384"/>
      <c r="D532" s="384"/>
      <c r="E532" s="384"/>
      <c r="F532" s="384"/>
    </row>
    <row r="533" spans="1:6" ht="15">
      <c r="A533" s="101">
        <v>443</v>
      </c>
      <c r="B533" s="101">
        <v>390</v>
      </c>
      <c r="C533" s="101">
        <v>12.41</v>
      </c>
      <c r="D533" s="101">
        <v>12.41</v>
      </c>
      <c r="E533" s="101">
        <v>20.68</v>
      </c>
      <c r="F533" s="102">
        <v>24.82</v>
      </c>
    </row>
    <row r="534" spans="1:6" ht="15">
      <c r="A534" s="384"/>
      <c r="B534" s="384"/>
      <c r="C534" s="384"/>
      <c r="D534" s="384"/>
      <c r="E534" s="384"/>
      <c r="F534" s="384"/>
    </row>
    <row r="535" spans="1:6" ht="15">
      <c r="A535" s="101">
        <v>444</v>
      </c>
      <c r="B535" s="101">
        <v>390</v>
      </c>
      <c r="C535" s="101">
        <v>12.41</v>
      </c>
      <c r="D535" s="101">
        <v>12.41</v>
      </c>
      <c r="E535" s="101">
        <v>20.68</v>
      </c>
      <c r="F535" s="102">
        <v>24.82</v>
      </c>
    </row>
    <row r="536" spans="1:6" ht="15">
      <c r="A536" s="384"/>
      <c r="B536" s="384"/>
      <c r="C536" s="384"/>
      <c r="D536" s="384"/>
      <c r="E536" s="384"/>
      <c r="F536" s="384"/>
    </row>
    <row r="537" spans="1:6" ht="15">
      <c r="A537" s="101">
        <v>445</v>
      </c>
      <c r="B537" s="101">
        <v>391</v>
      </c>
      <c r="C537" s="101">
        <v>12.44</v>
      </c>
      <c r="D537" s="101">
        <v>12.44</v>
      </c>
      <c r="E537" s="101">
        <v>20.73</v>
      </c>
      <c r="F537" s="102">
        <v>24.88</v>
      </c>
    </row>
    <row r="538" spans="1:6" ht="15">
      <c r="A538" s="384"/>
      <c r="B538" s="384"/>
      <c r="C538" s="384"/>
      <c r="D538" s="384"/>
      <c r="E538" s="384"/>
      <c r="F538" s="384"/>
    </row>
    <row r="539" spans="1:6" ht="15">
      <c r="A539" s="101">
        <v>446</v>
      </c>
      <c r="B539" s="101">
        <v>392</v>
      </c>
      <c r="C539" s="101">
        <v>12.47</v>
      </c>
      <c r="D539" s="101">
        <v>12.47</v>
      </c>
      <c r="E539" s="101">
        <v>20.78</v>
      </c>
      <c r="F539" s="102">
        <v>24.94</v>
      </c>
    </row>
    <row r="540" spans="1:6" ht="15">
      <c r="A540" s="384"/>
      <c r="B540" s="384"/>
      <c r="C540" s="384"/>
      <c r="D540" s="384"/>
      <c r="E540" s="384"/>
      <c r="F540" s="384"/>
    </row>
    <row r="541" spans="1:6" ht="15">
      <c r="A541" s="101">
        <v>447</v>
      </c>
      <c r="B541" s="101">
        <v>393</v>
      </c>
      <c r="C541" s="101">
        <v>12.51</v>
      </c>
      <c r="D541" s="101">
        <v>12.51</v>
      </c>
      <c r="E541" s="101">
        <v>20.85</v>
      </c>
      <c r="F541" s="102">
        <v>25.02</v>
      </c>
    </row>
    <row r="542" spans="1:6" ht="15">
      <c r="A542" s="384"/>
      <c r="B542" s="384"/>
      <c r="C542" s="384"/>
      <c r="D542" s="384"/>
      <c r="E542" s="384"/>
      <c r="F542" s="384"/>
    </row>
    <row r="543" spans="1:6" ht="15">
      <c r="A543" s="101">
        <v>448</v>
      </c>
      <c r="B543" s="101">
        <v>393</v>
      </c>
      <c r="C543" s="101">
        <v>12.51</v>
      </c>
      <c r="D543" s="101">
        <v>12.51</v>
      </c>
      <c r="E543" s="101">
        <v>20.85</v>
      </c>
      <c r="F543" s="102">
        <v>25.02</v>
      </c>
    </row>
    <row r="544" spans="1:6" ht="15">
      <c r="A544" s="384"/>
      <c r="B544" s="384"/>
      <c r="C544" s="384"/>
      <c r="D544" s="384"/>
      <c r="E544" s="384"/>
      <c r="F544" s="384"/>
    </row>
    <row r="545" spans="1:6" ht="15">
      <c r="A545" s="101">
        <v>449</v>
      </c>
      <c r="B545" s="101">
        <v>394</v>
      </c>
      <c r="C545" s="101">
        <v>12.54</v>
      </c>
      <c r="D545" s="101">
        <v>12.54</v>
      </c>
      <c r="E545" s="101">
        <v>20.9</v>
      </c>
      <c r="F545" s="102">
        <v>25.08</v>
      </c>
    </row>
    <row r="546" spans="1:6" ht="15">
      <c r="A546" s="384"/>
      <c r="B546" s="384"/>
      <c r="C546" s="384"/>
      <c r="D546" s="384"/>
      <c r="E546" s="384"/>
      <c r="F546" s="384"/>
    </row>
    <row r="547" spans="1:6" ht="15">
      <c r="A547" s="101">
        <v>450</v>
      </c>
      <c r="B547" s="101">
        <v>395</v>
      </c>
      <c r="C547" s="101">
        <v>12.57</v>
      </c>
      <c r="D547" s="101">
        <v>12.57</v>
      </c>
      <c r="E547" s="101">
        <v>20.95</v>
      </c>
      <c r="F547" s="102">
        <v>25.14</v>
      </c>
    </row>
    <row r="548" spans="1:6" ht="15">
      <c r="A548" s="384"/>
      <c r="B548" s="384"/>
      <c r="C548" s="384"/>
      <c r="D548" s="384"/>
      <c r="E548" s="384"/>
      <c r="F548" s="384"/>
    </row>
    <row r="549" spans="1:6" ht="15">
      <c r="A549" s="101">
        <v>451</v>
      </c>
      <c r="B549" s="101">
        <v>396</v>
      </c>
      <c r="C549" s="101">
        <v>12.6</v>
      </c>
      <c r="D549" s="101">
        <v>12.6</v>
      </c>
      <c r="E549" s="101">
        <v>21</v>
      </c>
      <c r="F549" s="102">
        <v>25.2</v>
      </c>
    </row>
    <row r="550" spans="1:6" ht="15">
      <c r="A550" s="384"/>
      <c r="B550" s="384"/>
      <c r="C550" s="384"/>
      <c r="D550" s="384"/>
      <c r="E550" s="384"/>
      <c r="F550" s="384"/>
    </row>
    <row r="551" spans="1:6" ht="15">
      <c r="A551" s="101">
        <v>452</v>
      </c>
      <c r="B551" s="101">
        <v>396</v>
      </c>
      <c r="C551" s="101">
        <v>12.6</v>
      </c>
      <c r="D551" s="101">
        <v>12.6</v>
      </c>
      <c r="E551" s="101">
        <v>21</v>
      </c>
      <c r="F551" s="102">
        <v>25.2</v>
      </c>
    </row>
    <row r="552" spans="1:6" ht="15">
      <c r="A552" s="384"/>
      <c r="B552" s="384"/>
      <c r="C552" s="384"/>
      <c r="D552" s="384"/>
      <c r="E552" s="384"/>
      <c r="F552" s="384"/>
    </row>
    <row r="553" spans="1:6" ht="15">
      <c r="A553" s="101">
        <v>453</v>
      </c>
      <c r="B553" s="101">
        <v>397</v>
      </c>
      <c r="C553" s="101">
        <v>12.63</v>
      </c>
      <c r="D553" s="101">
        <v>12.63</v>
      </c>
      <c r="E553" s="101">
        <v>21.05</v>
      </c>
      <c r="F553" s="102">
        <v>25.26</v>
      </c>
    </row>
    <row r="554" spans="1:6" ht="15">
      <c r="A554" s="384"/>
      <c r="B554" s="384"/>
      <c r="C554" s="384"/>
      <c r="D554" s="384"/>
      <c r="E554" s="384"/>
      <c r="F554" s="384"/>
    </row>
    <row r="555" spans="1:6" ht="15">
      <c r="A555" s="101">
        <v>454</v>
      </c>
      <c r="B555" s="101">
        <v>398</v>
      </c>
      <c r="C555" s="101">
        <v>12.67</v>
      </c>
      <c r="D555" s="101">
        <v>12.67</v>
      </c>
      <c r="E555" s="101">
        <v>21.12</v>
      </c>
      <c r="F555" s="102">
        <v>25.34</v>
      </c>
    </row>
    <row r="556" spans="1:6" ht="15">
      <c r="A556" s="384"/>
      <c r="B556" s="384"/>
      <c r="C556" s="384"/>
      <c r="D556" s="384"/>
      <c r="E556" s="384"/>
      <c r="F556" s="384"/>
    </row>
    <row r="557" spans="1:6" ht="15">
      <c r="A557" s="101">
        <v>455</v>
      </c>
      <c r="B557" s="101">
        <v>398</v>
      </c>
      <c r="C557" s="101">
        <v>12.67</v>
      </c>
      <c r="D557" s="101">
        <v>12.67</v>
      </c>
      <c r="E557" s="101">
        <v>21.12</v>
      </c>
      <c r="F557" s="102">
        <v>25.34</v>
      </c>
    </row>
    <row r="558" spans="1:6" ht="15">
      <c r="A558" s="384"/>
      <c r="B558" s="384"/>
      <c r="C558" s="384"/>
      <c r="D558" s="384"/>
      <c r="E558" s="384"/>
      <c r="F558" s="384"/>
    </row>
    <row r="559" spans="1:6" ht="15">
      <c r="A559" s="101">
        <v>456</v>
      </c>
      <c r="B559" s="101">
        <v>399</v>
      </c>
      <c r="C559" s="101">
        <v>12.7</v>
      </c>
      <c r="D559" s="101">
        <v>12.7</v>
      </c>
      <c r="E559" s="101">
        <v>21.17</v>
      </c>
      <c r="F559" s="102">
        <v>25.4</v>
      </c>
    </row>
    <row r="560" spans="1:6" ht="15">
      <c r="A560" s="384"/>
      <c r="B560" s="384"/>
      <c r="C560" s="384"/>
      <c r="D560" s="384"/>
      <c r="E560" s="384"/>
      <c r="F560" s="384"/>
    </row>
    <row r="561" spans="1:6" ht="15">
      <c r="A561" s="101">
        <v>457</v>
      </c>
      <c r="B561" s="101">
        <v>400</v>
      </c>
      <c r="C561" s="101">
        <v>12.73</v>
      </c>
      <c r="D561" s="101">
        <v>12.73</v>
      </c>
      <c r="E561" s="101">
        <v>21.22</v>
      </c>
      <c r="F561" s="102">
        <v>25.46</v>
      </c>
    </row>
    <row r="562" spans="1:6" ht="15">
      <c r="A562" s="384"/>
      <c r="B562" s="384"/>
      <c r="C562" s="384"/>
      <c r="D562" s="384"/>
      <c r="E562" s="384"/>
      <c r="F562" s="384"/>
    </row>
    <row r="563" spans="1:6" ht="15">
      <c r="A563" s="101">
        <v>458</v>
      </c>
      <c r="B563" s="101">
        <v>401</v>
      </c>
      <c r="C563" s="101">
        <v>12.76</v>
      </c>
      <c r="D563" s="101">
        <v>12.76</v>
      </c>
      <c r="E563" s="101">
        <v>21.27</v>
      </c>
      <c r="F563" s="102">
        <v>25.52</v>
      </c>
    </row>
    <row r="564" spans="1:6" ht="15">
      <c r="A564" s="384"/>
      <c r="B564" s="384"/>
      <c r="C564" s="384"/>
      <c r="D564" s="384"/>
      <c r="E564" s="384"/>
      <c r="F564" s="384"/>
    </row>
    <row r="565" spans="1:6" ht="15">
      <c r="A565" s="101">
        <v>459</v>
      </c>
      <c r="B565" s="101">
        <v>402</v>
      </c>
      <c r="C565" s="101">
        <v>12.79</v>
      </c>
      <c r="D565" s="101">
        <v>12.79</v>
      </c>
      <c r="E565" s="101">
        <v>21.32</v>
      </c>
      <c r="F565" s="102">
        <v>25.58</v>
      </c>
    </row>
    <row r="566" spans="1:6" ht="15">
      <c r="A566" s="384"/>
      <c r="B566" s="384"/>
      <c r="C566" s="384"/>
      <c r="D566" s="384"/>
      <c r="E566" s="384"/>
      <c r="F566" s="384"/>
    </row>
    <row r="567" spans="1:6" ht="15">
      <c r="A567" s="101">
        <v>460</v>
      </c>
      <c r="B567" s="101">
        <v>403</v>
      </c>
      <c r="C567" s="101">
        <v>12.82</v>
      </c>
      <c r="D567" s="101">
        <v>12.82</v>
      </c>
      <c r="E567" s="101">
        <v>21.37</v>
      </c>
      <c r="F567" s="102">
        <v>25.64</v>
      </c>
    </row>
    <row r="568" spans="1:6" ht="15">
      <c r="A568" s="384"/>
      <c r="B568" s="384"/>
      <c r="C568" s="384"/>
      <c r="D568" s="384"/>
      <c r="E568" s="384"/>
      <c r="F568" s="384"/>
    </row>
    <row r="569" spans="1:6" ht="15">
      <c r="A569" s="101">
        <v>461</v>
      </c>
      <c r="B569" s="101">
        <v>404</v>
      </c>
      <c r="C569" s="101">
        <v>12.86</v>
      </c>
      <c r="D569" s="101">
        <v>12.86</v>
      </c>
      <c r="E569" s="101">
        <v>21.43</v>
      </c>
      <c r="F569" s="102">
        <v>25.72</v>
      </c>
    </row>
    <row r="570" spans="1:6" ht="15">
      <c r="A570" s="384"/>
      <c r="B570" s="384"/>
      <c r="C570" s="384"/>
      <c r="D570" s="384"/>
      <c r="E570" s="384"/>
      <c r="F570" s="384"/>
    </row>
    <row r="571" spans="1:6" ht="15">
      <c r="A571" s="101">
        <v>462</v>
      </c>
      <c r="B571" s="101">
        <v>405</v>
      </c>
      <c r="C571" s="101">
        <v>12.89</v>
      </c>
      <c r="D571" s="101">
        <v>12.89</v>
      </c>
      <c r="E571" s="101">
        <v>21.48</v>
      </c>
      <c r="F571" s="102">
        <v>25.78</v>
      </c>
    </row>
    <row r="572" spans="1:6" ht="15">
      <c r="A572" s="384"/>
      <c r="B572" s="384"/>
      <c r="C572" s="384"/>
      <c r="D572" s="384"/>
      <c r="E572" s="384"/>
      <c r="F572" s="384"/>
    </row>
    <row r="573" spans="1:6" ht="15">
      <c r="A573" s="101">
        <v>463</v>
      </c>
      <c r="B573" s="101">
        <v>405</v>
      </c>
      <c r="C573" s="101">
        <v>12.89</v>
      </c>
      <c r="D573" s="101">
        <v>12.89</v>
      </c>
      <c r="E573" s="101">
        <v>21.48</v>
      </c>
      <c r="F573" s="102">
        <v>25.78</v>
      </c>
    </row>
    <row r="574" spans="1:6" ht="15">
      <c r="A574" s="384"/>
      <c r="B574" s="384"/>
      <c r="C574" s="384"/>
      <c r="D574" s="384"/>
      <c r="E574" s="384"/>
      <c r="F574" s="384"/>
    </row>
    <row r="575" spans="1:6" ht="15">
      <c r="A575" s="101">
        <v>464</v>
      </c>
      <c r="B575" s="101">
        <v>406</v>
      </c>
      <c r="C575" s="101">
        <v>12.92</v>
      </c>
      <c r="D575" s="101">
        <v>12.92</v>
      </c>
      <c r="E575" s="101">
        <v>21.53</v>
      </c>
      <c r="F575" s="102">
        <v>25.84</v>
      </c>
    </row>
    <row r="576" spans="1:6" ht="15">
      <c r="A576" s="384"/>
      <c r="B576" s="384"/>
      <c r="C576" s="384"/>
      <c r="D576" s="384"/>
      <c r="E576" s="384"/>
      <c r="F576" s="384"/>
    </row>
    <row r="577" spans="1:6" ht="15">
      <c r="A577" s="101">
        <v>465</v>
      </c>
      <c r="B577" s="101">
        <v>407</v>
      </c>
      <c r="C577" s="101">
        <v>12.95</v>
      </c>
      <c r="D577" s="101">
        <v>12.95</v>
      </c>
      <c r="E577" s="101">
        <v>21.58</v>
      </c>
      <c r="F577" s="102">
        <v>25.9</v>
      </c>
    </row>
    <row r="578" spans="1:6" ht="15">
      <c r="A578" s="384"/>
      <c r="B578" s="384"/>
      <c r="C578" s="384"/>
      <c r="D578" s="384"/>
      <c r="E578" s="384"/>
      <c r="F578" s="384"/>
    </row>
    <row r="579" spans="1:6" ht="15">
      <c r="A579" s="101">
        <v>466</v>
      </c>
      <c r="B579" s="101">
        <v>408</v>
      </c>
      <c r="C579" s="101">
        <v>12.98</v>
      </c>
      <c r="D579" s="101">
        <v>12.98</v>
      </c>
      <c r="E579" s="101">
        <v>21.63</v>
      </c>
      <c r="F579" s="102">
        <v>25.96</v>
      </c>
    </row>
    <row r="580" spans="1:6" ht="15">
      <c r="A580" s="384"/>
      <c r="B580" s="384"/>
      <c r="C580" s="384"/>
      <c r="D580" s="384"/>
      <c r="E580" s="384"/>
      <c r="F580" s="384"/>
    </row>
    <row r="581" spans="1:6" ht="15">
      <c r="A581" s="101">
        <v>467</v>
      </c>
      <c r="B581" s="101">
        <v>408</v>
      </c>
      <c r="C581" s="101">
        <v>12.98</v>
      </c>
      <c r="D581" s="101">
        <v>12.98</v>
      </c>
      <c r="E581" s="101">
        <v>21.63</v>
      </c>
      <c r="F581" s="102">
        <v>25.96</v>
      </c>
    </row>
    <row r="582" spans="1:6" ht="15">
      <c r="A582" s="384"/>
      <c r="B582" s="384"/>
      <c r="C582" s="384"/>
      <c r="D582" s="384"/>
      <c r="E582" s="384"/>
      <c r="F582" s="384"/>
    </row>
    <row r="583" spans="1:6" ht="15">
      <c r="A583" s="101">
        <v>468</v>
      </c>
      <c r="B583" s="101">
        <v>409</v>
      </c>
      <c r="C583" s="101">
        <v>13.02</v>
      </c>
      <c r="D583" s="101">
        <v>13.02</v>
      </c>
      <c r="E583" s="101">
        <v>21.7</v>
      </c>
      <c r="F583" s="102">
        <v>26.04</v>
      </c>
    </row>
    <row r="584" spans="1:6" ht="15">
      <c r="A584" s="384"/>
      <c r="B584" s="384"/>
      <c r="C584" s="384"/>
      <c r="D584" s="384"/>
      <c r="E584" s="384"/>
      <c r="F584" s="384"/>
    </row>
    <row r="585" spans="1:6" ht="15">
      <c r="A585" s="101">
        <v>469</v>
      </c>
      <c r="B585" s="101">
        <v>410</v>
      </c>
      <c r="C585" s="101">
        <v>13.05</v>
      </c>
      <c r="D585" s="101">
        <v>13.05</v>
      </c>
      <c r="E585" s="101">
        <v>21.75</v>
      </c>
      <c r="F585" s="102">
        <v>26.1</v>
      </c>
    </row>
    <row r="586" spans="1:6" ht="15">
      <c r="A586" s="384"/>
      <c r="B586" s="384"/>
      <c r="C586" s="384"/>
      <c r="D586" s="384"/>
      <c r="E586" s="384"/>
      <c r="F586" s="384"/>
    </row>
    <row r="587" spans="1:6" ht="15">
      <c r="A587" s="101">
        <v>470</v>
      </c>
      <c r="B587" s="101">
        <v>411</v>
      </c>
      <c r="C587" s="101">
        <v>13.08</v>
      </c>
      <c r="D587" s="101">
        <v>13.08</v>
      </c>
      <c r="E587" s="101">
        <v>21.8</v>
      </c>
      <c r="F587" s="102">
        <v>26.16</v>
      </c>
    </row>
    <row r="588" spans="1:6" ht="15">
      <c r="A588" s="384"/>
      <c r="B588" s="384"/>
      <c r="C588" s="384"/>
      <c r="D588" s="384"/>
      <c r="E588" s="384"/>
      <c r="F588" s="384"/>
    </row>
    <row r="589" spans="1:6" ht="15">
      <c r="A589" s="101">
        <v>471</v>
      </c>
      <c r="B589" s="101">
        <v>411</v>
      </c>
      <c r="C589" s="101">
        <v>13.08</v>
      </c>
      <c r="D589" s="101">
        <v>13.08</v>
      </c>
      <c r="E589" s="101">
        <v>21.8</v>
      </c>
      <c r="F589" s="102">
        <v>26.16</v>
      </c>
    </row>
    <row r="590" spans="1:6" ht="15">
      <c r="A590" s="384"/>
      <c r="B590" s="384"/>
      <c r="C590" s="384"/>
      <c r="D590" s="384"/>
      <c r="E590" s="384"/>
      <c r="F590" s="384"/>
    </row>
    <row r="591" spans="1:6" ht="15">
      <c r="A591" s="101">
        <v>472</v>
      </c>
      <c r="B591" s="101">
        <v>412</v>
      </c>
      <c r="C591" s="101">
        <v>13.11</v>
      </c>
      <c r="D591" s="101">
        <v>13.11</v>
      </c>
      <c r="E591" s="101">
        <v>21.85</v>
      </c>
      <c r="F591" s="102">
        <v>26.22</v>
      </c>
    </row>
    <row r="592" spans="1:6" ht="15">
      <c r="A592" s="384"/>
      <c r="B592" s="384"/>
      <c r="C592" s="384"/>
      <c r="D592" s="384"/>
      <c r="E592" s="384"/>
      <c r="F592" s="384"/>
    </row>
    <row r="593" spans="1:6" ht="15">
      <c r="A593" s="101">
        <v>473</v>
      </c>
      <c r="B593" s="101">
        <v>412</v>
      </c>
      <c r="C593" s="101">
        <v>13.11</v>
      </c>
      <c r="D593" s="101">
        <v>13.11</v>
      </c>
      <c r="E593" s="101">
        <v>21.85</v>
      </c>
      <c r="F593" s="102">
        <v>26.22</v>
      </c>
    </row>
    <row r="594" spans="1:6" ht="15">
      <c r="A594" s="384"/>
      <c r="B594" s="384"/>
      <c r="C594" s="384"/>
      <c r="D594" s="384"/>
      <c r="E594" s="384"/>
      <c r="F594" s="384"/>
    </row>
    <row r="595" spans="1:6" ht="15">
      <c r="A595" s="101">
        <v>474</v>
      </c>
      <c r="B595" s="101">
        <v>413</v>
      </c>
      <c r="C595" s="101">
        <v>13.14</v>
      </c>
      <c r="D595" s="101">
        <v>13.14</v>
      </c>
      <c r="E595" s="101">
        <v>21.9</v>
      </c>
      <c r="F595" s="102">
        <v>26.28</v>
      </c>
    </row>
    <row r="596" spans="1:6" ht="15">
      <c r="A596" s="384"/>
      <c r="B596" s="384"/>
      <c r="C596" s="384"/>
      <c r="D596" s="384"/>
      <c r="E596" s="384"/>
      <c r="F596" s="384"/>
    </row>
    <row r="597" spans="1:6" ht="15">
      <c r="A597" s="101">
        <v>475</v>
      </c>
      <c r="B597" s="101">
        <v>413</v>
      </c>
      <c r="C597" s="101">
        <v>13.14</v>
      </c>
      <c r="D597" s="101">
        <v>13.14</v>
      </c>
      <c r="E597" s="101">
        <v>21.9</v>
      </c>
      <c r="F597" s="102">
        <v>26.28</v>
      </c>
    </row>
    <row r="598" spans="1:6" ht="15">
      <c r="A598" s="384"/>
      <c r="B598" s="384"/>
      <c r="C598" s="384"/>
      <c r="D598" s="384"/>
      <c r="E598" s="384"/>
      <c r="F598" s="384"/>
    </row>
    <row r="599" spans="1:6" ht="15">
      <c r="A599" s="101">
        <v>476</v>
      </c>
      <c r="B599" s="101">
        <v>414</v>
      </c>
      <c r="C599" s="101">
        <v>13.18</v>
      </c>
      <c r="D599" s="101">
        <v>13.18</v>
      </c>
      <c r="E599" s="101">
        <v>21.97</v>
      </c>
      <c r="F599" s="102">
        <v>26.36</v>
      </c>
    </row>
    <row r="600" spans="1:6" ht="15">
      <c r="A600" s="384"/>
      <c r="B600" s="384"/>
      <c r="C600" s="384"/>
      <c r="D600" s="384"/>
      <c r="E600" s="384"/>
      <c r="F600" s="384"/>
    </row>
    <row r="601" spans="1:6" ht="15">
      <c r="A601" s="101">
        <v>477</v>
      </c>
      <c r="B601" s="101">
        <v>415</v>
      </c>
      <c r="C601" s="101">
        <v>13.21</v>
      </c>
      <c r="D601" s="101">
        <v>13.21</v>
      </c>
      <c r="E601" s="101">
        <v>22.02</v>
      </c>
      <c r="F601" s="102">
        <v>26.42</v>
      </c>
    </row>
    <row r="602" spans="1:6" ht="15">
      <c r="A602" s="384"/>
      <c r="B602" s="384"/>
      <c r="C602" s="384"/>
      <c r="D602" s="384"/>
      <c r="E602" s="384"/>
      <c r="F602" s="384"/>
    </row>
    <row r="603" spans="1:6" ht="15">
      <c r="A603" s="101">
        <v>478</v>
      </c>
      <c r="B603" s="101">
        <v>415</v>
      </c>
      <c r="C603" s="101">
        <v>13.21</v>
      </c>
      <c r="D603" s="101">
        <v>13.21</v>
      </c>
      <c r="E603" s="101">
        <v>22.02</v>
      </c>
      <c r="F603" s="102">
        <v>26.42</v>
      </c>
    </row>
    <row r="604" spans="1:6" ht="15">
      <c r="A604" s="384"/>
      <c r="B604" s="384"/>
      <c r="C604" s="384"/>
      <c r="D604" s="384"/>
      <c r="E604" s="384"/>
      <c r="F604" s="384"/>
    </row>
    <row r="605" spans="1:6" ht="15">
      <c r="A605" s="101">
        <v>479</v>
      </c>
      <c r="B605" s="101">
        <v>416</v>
      </c>
      <c r="C605" s="101">
        <v>13.24</v>
      </c>
      <c r="D605" s="101">
        <v>13.24</v>
      </c>
      <c r="E605" s="101">
        <v>22.07</v>
      </c>
      <c r="F605" s="102">
        <v>26.48</v>
      </c>
    </row>
    <row r="606" spans="1:6" ht="15">
      <c r="A606" s="384"/>
      <c r="B606" s="384"/>
      <c r="C606" s="384"/>
      <c r="D606" s="384"/>
      <c r="E606" s="384"/>
      <c r="F606" s="384"/>
    </row>
    <row r="607" spans="1:6" ht="15">
      <c r="A607" s="101">
        <v>480</v>
      </c>
      <c r="B607" s="101">
        <v>416</v>
      </c>
      <c r="C607" s="101">
        <v>13.24</v>
      </c>
      <c r="D607" s="101">
        <v>13.24</v>
      </c>
      <c r="E607" s="101">
        <v>22.07</v>
      </c>
      <c r="F607" s="102">
        <v>26.48</v>
      </c>
    </row>
    <row r="608" spans="1:6" ht="15">
      <c r="A608" s="384"/>
      <c r="B608" s="384"/>
      <c r="C608" s="384"/>
      <c r="D608" s="384"/>
      <c r="E608" s="384"/>
      <c r="F608" s="384"/>
    </row>
    <row r="609" spans="1:6" ht="15">
      <c r="A609" s="101">
        <v>481</v>
      </c>
      <c r="B609" s="101">
        <v>417</v>
      </c>
      <c r="C609" s="101">
        <v>13.27</v>
      </c>
      <c r="D609" s="101">
        <v>13.27</v>
      </c>
      <c r="E609" s="101">
        <v>22.12</v>
      </c>
      <c r="F609" s="102">
        <v>26.54</v>
      </c>
    </row>
    <row r="610" spans="1:6" ht="15">
      <c r="A610" s="384"/>
      <c r="B610" s="384"/>
      <c r="C610" s="384"/>
      <c r="D610" s="384"/>
      <c r="E610" s="384"/>
      <c r="F610" s="384"/>
    </row>
    <row r="611" spans="1:6" ht="15">
      <c r="A611" s="101">
        <v>482</v>
      </c>
      <c r="B611" s="101">
        <v>417</v>
      </c>
      <c r="C611" s="101">
        <v>13.27</v>
      </c>
      <c r="D611" s="101">
        <v>13.27</v>
      </c>
      <c r="E611" s="101">
        <v>22.12</v>
      </c>
      <c r="F611" s="102">
        <v>26.54</v>
      </c>
    </row>
    <row r="612" spans="1:6" ht="15">
      <c r="A612" s="384"/>
      <c r="B612" s="384"/>
      <c r="C612" s="384"/>
      <c r="D612" s="384"/>
      <c r="E612" s="384"/>
      <c r="F612" s="384"/>
    </row>
    <row r="613" spans="1:6" ht="15">
      <c r="A613" s="101">
        <v>483</v>
      </c>
      <c r="B613" s="101">
        <v>418</v>
      </c>
      <c r="C613" s="101">
        <v>13.3</v>
      </c>
      <c r="D613" s="101">
        <v>13.3</v>
      </c>
      <c r="E613" s="101">
        <v>22.17</v>
      </c>
      <c r="F613" s="102">
        <v>26.6</v>
      </c>
    </row>
    <row r="614" spans="1:6" ht="15">
      <c r="A614" s="384"/>
      <c r="B614" s="384"/>
      <c r="C614" s="384"/>
      <c r="D614" s="384"/>
      <c r="E614" s="384"/>
      <c r="F614" s="384"/>
    </row>
    <row r="615" spans="1:6" ht="15">
      <c r="A615" s="101">
        <v>484</v>
      </c>
      <c r="B615" s="101">
        <v>419</v>
      </c>
      <c r="C615" s="101">
        <v>13.33</v>
      </c>
      <c r="D615" s="101">
        <v>13.33</v>
      </c>
      <c r="E615" s="101">
        <v>22.22</v>
      </c>
      <c r="F615" s="102">
        <v>26.66</v>
      </c>
    </row>
    <row r="616" spans="1:6" ht="15">
      <c r="A616" s="384"/>
      <c r="B616" s="384"/>
      <c r="C616" s="384"/>
      <c r="D616" s="384"/>
      <c r="E616" s="384"/>
      <c r="F616" s="384"/>
    </row>
    <row r="617" spans="1:6" ht="15">
      <c r="A617" s="101">
        <v>485</v>
      </c>
      <c r="B617" s="101">
        <v>420</v>
      </c>
      <c r="C617" s="101">
        <v>13.37</v>
      </c>
      <c r="D617" s="101">
        <v>13.37</v>
      </c>
      <c r="E617" s="101">
        <v>22.28</v>
      </c>
      <c r="F617" s="102">
        <v>26.74</v>
      </c>
    </row>
    <row r="618" spans="1:6" ht="15">
      <c r="A618" s="384"/>
      <c r="B618" s="384"/>
      <c r="C618" s="384"/>
      <c r="D618" s="384"/>
      <c r="E618" s="384"/>
      <c r="F618" s="384"/>
    </row>
    <row r="619" spans="1:6" ht="15">
      <c r="A619" s="101">
        <v>486</v>
      </c>
      <c r="B619" s="101">
        <v>420</v>
      </c>
      <c r="C619" s="101">
        <v>13.37</v>
      </c>
      <c r="D619" s="101">
        <v>13.37</v>
      </c>
      <c r="E619" s="101">
        <v>22.28</v>
      </c>
      <c r="F619" s="102">
        <v>26.74</v>
      </c>
    </row>
    <row r="620" spans="1:6" ht="15">
      <c r="A620" s="384"/>
      <c r="B620" s="384"/>
      <c r="C620" s="384"/>
      <c r="D620" s="384"/>
      <c r="E620" s="384"/>
      <c r="F620" s="384"/>
    </row>
    <row r="621" spans="1:6" ht="15">
      <c r="A621" s="101">
        <v>487</v>
      </c>
      <c r="B621" s="101">
        <v>421</v>
      </c>
      <c r="C621" s="101">
        <v>13.4</v>
      </c>
      <c r="D621" s="101">
        <v>13.4</v>
      </c>
      <c r="E621" s="101">
        <v>22.33</v>
      </c>
      <c r="F621" s="102">
        <v>26.8</v>
      </c>
    </row>
    <row r="622" spans="1:6" ht="15">
      <c r="A622" s="384"/>
      <c r="B622" s="384"/>
      <c r="C622" s="384"/>
      <c r="D622" s="384"/>
      <c r="E622" s="384"/>
      <c r="F622" s="384"/>
    </row>
    <row r="623" spans="1:6" ht="15">
      <c r="A623" s="101">
        <v>488</v>
      </c>
      <c r="B623" s="101">
        <v>422</v>
      </c>
      <c r="C623" s="101">
        <v>13.43</v>
      </c>
      <c r="D623" s="101">
        <v>13.43</v>
      </c>
      <c r="E623" s="101">
        <v>22.38</v>
      </c>
      <c r="F623" s="102">
        <v>26.86</v>
      </c>
    </row>
    <row r="624" spans="1:6" ht="15">
      <c r="A624" s="384"/>
      <c r="B624" s="384"/>
      <c r="C624" s="384"/>
      <c r="D624" s="384"/>
      <c r="E624" s="384"/>
      <c r="F624" s="384"/>
    </row>
    <row r="625" spans="1:6" ht="15">
      <c r="A625" s="101">
        <v>489</v>
      </c>
      <c r="B625" s="101">
        <v>422</v>
      </c>
      <c r="C625" s="101">
        <v>13.43</v>
      </c>
      <c r="D625" s="101">
        <v>13.43</v>
      </c>
      <c r="E625" s="101">
        <v>22.38</v>
      </c>
      <c r="F625" s="102">
        <v>26.86</v>
      </c>
    </row>
    <row r="626" spans="1:6" ht="15">
      <c r="A626" s="384"/>
      <c r="B626" s="384"/>
      <c r="C626" s="384"/>
      <c r="D626" s="384"/>
      <c r="E626" s="384"/>
      <c r="F626" s="384"/>
    </row>
    <row r="627" spans="1:6" ht="15">
      <c r="A627" s="101">
        <v>490</v>
      </c>
      <c r="B627" s="101">
        <v>423</v>
      </c>
      <c r="C627" s="101">
        <v>13.46</v>
      </c>
      <c r="D627" s="101">
        <v>13.46</v>
      </c>
      <c r="E627" s="101">
        <v>22.43</v>
      </c>
      <c r="F627" s="102">
        <v>26.92</v>
      </c>
    </row>
    <row r="628" spans="1:6" ht="15">
      <c r="A628" s="384"/>
      <c r="B628" s="384"/>
      <c r="C628" s="384"/>
      <c r="D628" s="384"/>
      <c r="E628" s="384"/>
      <c r="F628" s="384"/>
    </row>
    <row r="629" spans="1:6" ht="15">
      <c r="A629" s="101">
        <v>491</v>
      </c>
      <c r="B629" s="101">
        <v>424</v>
      </c>
      <c r="C629" s="101">
        <v>13.49</v>
      </c>
      <c r="D629" s="101">
        <v>13.49</v>
      </c>
      <c r="E629" s="101">
        <v>22.48</v>
      </c>
      <c r="F629" s="102">
        <v>26.98</v>
      </c>
    </row>
    <row r="630" spans="1:6" ht="15">
      <c r="A630" s="384"/>
      <c r="B630" s="384"/>
      <c r="C630" s="384"/>
      <c r="D630" s="384"/>
      <c r="E630" s="384"/>
      <c r="F630" s="384"/>
    </row>
    <row r="631" spans="1:6" ht="15">
      <c r="A631" s="101">
        <v>492</v>
      </c>
      <c r="B631" s="101">
        <v>425</v>
      </c>
      <c r="C631" s="101">
        <v>13.53</v>
      </c>
      <c r="D631" s="101">
        <v>13.53</v>
      </c>
      <c r="E631" s="101">
        <v>22.55</v>
      </c>
      <c r="F631" s="102">
        <v>27.06</v>
      </c>
    </row>
    <row r="632" spans="1:6" ht="15">
      <c r="A632" s="384"/>
      <c r="B632" s="384"/>
      <c r="C632" s="384"/>
      <c r="D632" s="384"/>
      <c r="E632" s="384"/>
      <c r="F632" s="384"/>
    </row>
    <row r="633" spans="1:6" ht="15">
      <c r="A633" s="101">
        <v>493</v>
      </c>
      <c r="B633" s="101">
        <v>425</v>
      </c>
      <c r="C633" s="101">
        <v>13.53</v>
      </c>
      <c r="D633" s="101">
        <v>13.53</v>
      </c>
      <c r="E633" s="101">
        <v>22.55</v>
      </c>
      <c r="F633" s="102">
        <v>27.06</v>
      </c>
    </row>
    <row r="634" spans="1:6" ht="15">
      <c r="A634" s="384"/>
      <c r="B634" s="384"/>
      <c r="C634" s="384"/>
      <c r="D634" s="384"/>
      <c r="E634" s="384"/>
      <c r="F634" s="384"/>
    </row>
    <row r="635" spans="1:6" ht="15">
      <c r="A635" s="101">
        <v>494</v>
      </c>
      <c r="B635" s="101">
        <v>426</v>
      </c>
      <c r="C635" s="101">
        <v>13.56</v>
      </c>
      <c r="D635" s="101">
        <v>13.56</v>
      </c>
      <c r="E635" s="101">
        <v>22.6</v>
      </c>
      <c r="F635" s="102">
        <v>27.12</v>
      </c>
    </row>
    <row r="636" spans="1:6" ht="15">
      <c r="A636" s="384"/>
      <c r="B636" s="384"/>
      <c r="C636" s="384"/>
      <c r="D636" s="384"/>
      <c r="E636" s="384"/>
      <c r="F636" s="384"/>
    </row>
    <row r="637" spans="1:6" ht="15">
      <c r="A637" s="101">
        <v>495</v>
      </c>
      <c r="B637" s="101">
        <v>427</v>
      </c>
      <c r="C637" s="101">
        <v>13.59</v>
      </c>
      <c r="D637" s="101">
        <v>13.59</v>
      </c>
      <c r="E637" s="101">
        <v>22.65</v>
      </c>
      <c r="F637" s="102">
        <v>27.18</v>
      </c>
    </row>
    <row r="638" spans="1:6" ht="15">
      <c r="A638" s="384"/>
      <c r="B638" s="384"/>
      <c r="C638" s="384"/>
      <c r="D638" s="384"/>
      <c r="E638" s="384"/>
      <c r="F638" s="384"/>
    </row>
    <row r="639" spans="1:6" ht="15">
      <c r="A639" s="101">
        <v>496</v>
      </c>
      <c r="B639" s="101">
        <v>428</v>
      </c>
      <c r="C639" s="101">
        <v>13.62</v>
      </c>
      <c r="D639" s="101">
        <v>13.62</v>
      </c>
      <c r="E639" s="101">
        <v>22.7</v>
      </c>
      <c r="F639" s="102">
        <v>27.24</v>
      </c>
    </row>
    <row r="640" spans="1:6" ht="15">
      <c r="A640" s="384"/>
      <c r="B640" s="384"/>
      <c r="C640" s="384"/>
      <c r="D640" s="384"/>
      <c r="E640" s="384"/>
      <c r="F640" s="384"/>
    </row>
    <row r="641" spans="1:6" ht="15">
      <c r="A641" s="101">
        <v>497</v>
      </c>
      <c r="B641" s="101">
        <v>428</v>
      </c>
      <c r="C641" s="101">
        <v>13.62</v>
      </c>
      <c r="D641" s="101">
        <v>13.62</v>
      </c>
      <c r="E641" s="101">
        <v>22.7</v>
      </c>
      <c r="F641" s="102">
        <v>27.24</v>
      </c>
    </row>
    <row r="642" spans="1:6" ht="15">
      <c r="A642" s="384"/>
      <c r="B642" s="384"/>
      <c r="C642" s="384"/>
      <c r="D642" s="384"/>
      <c r="E642" s="384"/>
      <c r="F642" s="384"/>
    </row>
    <row r="643" spans="1:6" ht="15">
      <c r="A643" s="101">
        <v>498</v>
      </c>
      <c r="B643" s="101">
        <v>429</v>
      </c>
      <c r="C643" s="101">
        <v>13.65</v>
      </c>
      <c r="D643" s="101">
        <v>13.65</v>
      </c>
      <c r="E643" s="101">
        <v>22.75</v>
      </c>
      <c r="F643" s="102">
        <v>27.3</v>
      </c>
    </row>
    <row r="644" spans="1:6" ht="15">
      <c r="A644" s="384"/>
      <c r="B644" s="384"/>
      <c r="C644" s="384"/>
      <c r="D644" s="384"/>
      <c r="E644" s="384"/>
      <c r="F644" s="384"/>
    </row>
    <row r="645" spans="1:6" ht="15">
      <c r="A645" s="101">
        <v>499</v>
      </c>
      <c r="B645" s="101">
        <v>430</v>
      </c>
      <c r="C645" s="101">
        <v>13.68</v>
      </c>
      <c r="D645" s="101">
        <v>13.68</v>
      </c>
      <c r="E645" s="101">
        <v>22.8</v>
      </c>
      <c r="F645" s="102">
        <v>27.36</v>
      </c>
    </row>
  </sheetData>
  <sheetProtection/>
  <mergeCells count="320">
    <mergeCell ref="A642:F642"/>
    <mergeCell ref="A644:F644"/>
    <mergeCell ref="A630:F630"/>
    <mergeCell ref="A632:F632"/>
    <mergeCell ref="A634:F634"/>
    <mergeCell ref="A636:F636"/>
    <mergeCell ref="A638:F638"/>
    <mergeCell ref="A640:F640"/>
    <mergeCell ref="A618:F618"/>
    <mergeCell ref="A620:F620"/>
    <mergeCell ref="A622:F622"/>
    <mergeCell ref="A624:F624"/>
    <mergeCell ref="A626:F626"/>
    <mergeCell ref="A628:F628"/>
    <mergeCell ref="A606:F606"/>
    <mergeCell ref="A608:F608"/>
    <mergeCell ref="A610:F610"/>
    <mergeCell ref="A612:F612"/>
    <mergeCell ref="A614:F614"/>
    <mergeCell ref="A616:F616"/>
    <mergeCell ref="A594:F594"/>
    <mergeCell ref="A596:F596"/>
    <mergeCell ref="A598:F598"/>
    <mergeCell ref="A600:F600"/>
    <mergeCell ref="A602:F602"/>
    <mergeCell ref="A604:F604"/>
    <mergeCell ref="A582:F582"/>
    <mergeCell ref="A584:F584"/>
    <mergeCell ref="A586:F586"/>
    <mergeCell ref="A588:F588"/>
    <mergeCell ref="A590:F590"/>
    <mergeCell ref="A592:F592"/>
    <mergeCell ref="A570:F570"/>
    <mergeCell ref="A572:F572"/>
    <mergeCell ref="A574:F574"/>
    <mergeCell ref="A576:F576"/>
    <mergeCell ref="A578:F578"/>
    <mergeCell ref="A580:F580"/>
    <mergeCell ref="A558:F558"/>
    <mergeCell ref="A560:F560"/>
    <mergeCell ref="A562:F562"/>
    <mergeCell ref="A564:F564"/>
    <mergeCell ref="A566:F566"/>
    <mergeCell ref="A568:F568"/>
    <mergeCell ref="A546:F546"/>
    <mergeCell ref="A548:F548"/>
    <mergeCell ref="A550:F550"/>
    <mergeCell ref="A552:F552"/>
    <mergeCell ref="A554:F554"/>
    <mergeCell ref="A556:F556"/>
    <mergeCell ref="A534:F534"/>
    <mergeCell ref="A536:F536"/>
    <mergeCell ref="A538:F538"/>
    <mergeCell ref="A540:F540"/>
    <mergeCell ref="A542:F542"/>
    <mergeCell ref="A544:F544"/>
    <mergeCell ref="A522:F522"/>
    <mergeCell ref="A524:F524"/>
    <mergeCell ref="A526:F526"/>
    <mergeCell ref="A528:F528"/>
    <mergeCell ref="A530:F530"/>
    <mergeCell ref="A532:F532"/>
    <mergeCell ref="A510:F510"/>
    <mergeCell ref="A512:F512"/>
    <mergeCell ref="A514:F514"/>
    <mergeCell ref="A516:F516"/>
    <mergeCell ref="A518:F518"/>
    <mergeCell ref="A520:F520"/>
    <mergeCell ref="A498:F498"/>
    <mergeCell ref="A500:F500"/>
    <mergeCell ref="A502:F502"/>
    <mergeCell ref="A504:F504"/>
    <mergeCell ref="A506:F506"/>
    <mergeCell ref="A508:F508"/>
    <mergeCell ref="A486:F486"/>
    <mergeCell ref="A488:F488"/>
    <mergeCell ref="A490:F490"/>
    <mergeCell ref="A492:F492"/>
    <mergeCell ref="A494:F494"/>
    <mergeCell ref="A496:F496"/>
    <mergeCell ref="A474:F474"/>
    <mergeCell ref="A476:F476"/>
    <mergeCell ref="A478:F478"/>
    <mergeCell ref="A480:F480"/>
    <mergeCell ref="A482:F482"/>
    <mergeCell ref="A484:F484"/>
    <mergeCell ref="A462:F462"/>
    <mergeCell ref="A464:F464"/>
    <mergeCell ref="A466:F466"/>
    <mergeCell ref="A468:F468"/>
    <mergeCell ref="A470:F470"/>
    <mergeCell ref="A472:F472"/>
    <mergeCell ref="A450:F450"/>
    <mergeCell ref="A452:F452"/>
    <mergeCell ref="A454:F454"/>
    <mergeCell ref="A456:F456"/>
    <mergeCell ref="A458:F458"/>
    <mergeCell ref="A460:F460"/>
    <mergeCell ref="A438:F438"/>
    <mergeCell ref="A440:F440"/>
    <mergeCell ref="A442:F442"/>
    <mergeCell ref="A444:F444"/>
    <mergeCell ref="A446:F446"/>
    <mergeCell ref="A448:F448"/>
    <mergeCell ref="A426:F426"/>
    <mergeCell ref="A428:F428"/>
    <mergeCell ref="A430:F430"/>
    <mergeCell ref="A432:F432"/>
    <mergeCell ref="A434:F434"/>
    <mergeCell ref="A436:F436"/>
    <mergeCell ref="A414:F414"/>
    <mergeCell ref="A416:F416"/>
    <mergeCell ref="A418:F418"/>
    <mergeCell ref="A420:F420"/>
    <mergeCell ref="A422:F422"/>
    <mergeCell ref="A424:F424"/>
    <mergeCell ref="A402:F402"/>
    <mergeCell ref="A404:F404"/>
    <mergeCell ref="A406:F406"/>
    <mergeCell ref="A408:F408"/>
    <mergeCell ref="A410:F410"/>
    <mergeCell ref="A412:F412"/>
    <mergeCell ref="A390:F390"/>
    <mergeCell ref="A392:F392"/>
    <mergeCell ref="A394:F394"/>
    <mergeCell ref="A396:F396"/>
    <mergeCell ref="A398:F398"/>
    <mergeCell ref="A400:F400"/>
    <mergeCell ref="A378:F378"/>
    <mergeCell ref="A380:F380"/>
    <mergeCell ref="A382:F382"/>
    <mergeCell ref="A384:F384"/>
    <mergeCell ref="A386:F386"/>
    <mergeCell ref="A388:F388"/>
    <mergeCell ref="A366:F366"/>
    <mergeCell ref="A368:F368"/>
    <mergeCell ref="A370:F370"/>
    <mergeCell ref="A372:F372"/>
    <mergeCell ref="A374:F374"/>
    <mergeCell ref="A376:F376"/>
    <mergeCell ref="A354:F354"/>
    <mergeCell ref="A356:F356"/>
    <mergeCell ref="A358:F358"/>
    <mergeCell ref="A360:F360"/>
    <mergeCell ref="A362:F362"/>
    <mergeCell ref="A364:F364"/>
    <mergeCell ref="A342:F342"/>
    <mergeCell ref="A344:F344"/>
    <mergeCell ref="A346:F346"/>
    <mergeCell ref="A348:F348"/>
    <mergeCell ref="A350:F350"/>
    <mergeCell ref="A352:F352"/>
    <mergeCell ref="A330:F330"/>
    <mergeCell ref="A332:F332"/>
    <mergeCell ref="A334:F334"/>
    <mergeCell ref="A336:F336"/>
    <mergeCell ref="A338:F338"/>
    <mergeCell ref="A340:F340"/>
    <mergeCell ref="A316:F316"/>
    <mergeCell ref="A318:F318"/>
    <mergeCell ref="A320:F320"/>
    <mergeCell ref="A322:F322"/>
    <mergeCell ref="A324:F324"/>
    <mergeCell ref="A328:F328"/>
    <mergeCell ref="A304:F304"/>
    <mergeCell ref="A306:F306"/>
    <mergeCell ref="A308:F308"/>
    <mergeCell ref="A310:F310"/>
    <mergeCell ref="A312:F312"/>
    <mergeCell ref="A314:F314"/>
    <mergeCell ref="A292:F292"/>
    <mergeCell ref="A294:F294"/>
    <mergeCell ref="A296:F296"/>
    <mergeCell ref="A298:F298"/>
    <mergeCell ref="A300:F300"/>
    <mergeCell ref="A302:F302"/>
    <mergeCell ref="A280:F280"/>
    <mergeCell ref="A282:F282"/>
    <mergeCell ref="A284:F284"/>
    <mergeCell ref="A286:F286"/>
    <mergeCell ref="A288:F288"/>
    <mergeCell ref="A290:F290"/>
    <mergeCell ref="A268:F268"/>
    <mergeCell ref="A270:F270"/>
    <mergeCell ref="A272:F272"/>
    <mergeCell ref="A274:F274"/>
    <mergeCell ref="A276:F276"/>
    <mergeCell ref="A278:F278"/>
    <mergeCell ref="A256:F256"/>
    <mergeCell ref="A258:F258"/>
    <mergeCell ref="A260:F260"/>
    <mergeCell ref="A262:F262"/>
    <mergeCell ref="A264:F264"/>
    <mergeCell ref="A266:F266"/>
    <mergeCell ref="A244:F244"/>
    <mergeCell ref="A246:F246"/>
    <mergeCell ref="A248:F248"/>
    <mergeCell ref="A250:F250"/>
    <mergeCell ref="A252:F252"/>
    <mergeCell ref="A254:F254"/>
    <mergeCell ref="A232:F232"/>
    <mergeCell ref="A234:F234"/>
    <mergeCell ref="A236:F236"/>
    <mergeCell ref="A238:F238"/>
    <mergeCell ref="A240:F240"/>
    <mergeCell ref="A242:F242"/>
    <mergeCell ref="A220:F220"/>
    <mergeCell ref="A222:F222"/>
    <mergeCell ref="A224:F224"/>
    <mergeCell ref="A226:F226"/>
    <mergeCell ref="A228:F228"/>
    <mergeCell ref="A230:F230"/>
    <mergeCell ref="A208:F208"/>
    <mergeCell ref="A210:F210"/>
    <mergeCell ref="A212:F212"/>
    <mergeCell ref="A214:F214"/>
    <mergeCell ref="A216:F216"/>
    <mergeCell ref="A218:F218"/>
    <mergeCell ref="A196:F196"/>
    <mergeCell ref="A198:F198"/>
    <mergeCell ref="A200:F200"/>
    <mergeCell ref="A202:F202"/>
    <mergeCell ref="A204:F204"/>
    <mergeCell ref="A206:F206"/>
    <mergeCell ref="A184:F184"/>
    <mergeCell ref="A186:F186"/>
    <mergeCell ref="A188:F188"/>
    <mergeCell ref="A190:F190"/>
    <mergeCell ref="A192:F192"/>
    <mergeCell ref="A194:F194"/>
    <mergeCell ref="A172:F172"/>
    <mergeCell ref="A174:F174"/>
    <mergeCell ref="A176:F176"/>
    <mergeCell ref="A178:F178"/>
    <mergeCell ref="A180:F180"/>
    <mergeCell ref="A182:F182"/>
    <mergeCell ref="A160:F160"/>
    <mergeCell ref="A162:F162"/>
    <mergeCell ref="A164:F164"/>
    <mergeCell ref="A166:F166"/>
    <mergeCell ref="A168:F168"/>
    <mergeCell ref="A170:F170"/>
    <mergeCell ref="A148:F148"/>
    <mergeCell ref="A150:F150"/>
    <mergeCell ref="A152:F152"/>
    <mergeCell ref="A154:F154"/>
    <mergeCell ref="A156:F156"/>
    <mergeCell ref="A158:F158"/>
    <mergeCell ref="A136:F136"/>
    <mergeCell ref="A138:F138"/>
    <mergeCell ref="A140:F140"/>
    <mergeCell ref="A142:F142"/>
    <mergeCell ref="A144:F144"/>
    <mergeCell ref="A146:F146"/>
    <mergeCell ref="A124:F124"/>
    <mergeCell ref="A126:F126"/>
    <mergeCell ref="A128:F128"/>
    <mergeCell ref="A130:F130"/>
    <mergeCell ref="A132:F132"/>
    <mergeCell ref="A134:F134"/>
    <mergeCell ref="A112:F112"/>
    <mergeCell ref="A114:F114"/>
    <mergeCell ref="A116:F116"/>
    <mergeCell ref="A118:F118"/>
    <mergeCell ref="A120:F120"/>
    <mergeCell ref="A122:F122"/>
    <mergeCell ref="A100:F100"/>
    <mergeCell ref="A102:F102"/>
    <mergeCell ref="A104:F104"/>
    <mergeCell ref="A106:F106"/>
    <mergeCell ref="A108:F108"/>
    <mergeCell ref="A110:F110"/>
    <mergeCell ref="A88:F88"/>
    <mergeCell ref="A90:F90"/>
    <mergeCell ref="A92:F92"/>
    <mergeCell ref="A94:F94"/>
    <mergeCell ref="A96:F96"/>
    <mergeCell ref="A98:F98"/>
    <mergeCell ref="A76:F76"/>
    <mergeCell ref="A78:F78"/>
    <mergeCell ref="A80:F80"/>
    <mergeCell ref="A82:F82"/>
    <mergeCell ref="A84:F84"/>
    <mergeCell ref="A86:F86"/>
    <mergeCell ref="A64:F64"/>
    <mergeCell ref="A66:F66"/>
    <mergeCell ref="A68:F68"/>
    <mergeCell ref="A70:F70"/>
    <mergeCell ref="A72:F72"/>
    <mergeCell ref="A74:F74"/>
    <mergeCell ref="A52:F52"/>
    <mergeCell ref="A54:F54"/>
    <mergeCell ref="A56:F56"/>
    <mergeCell ref="A58:F58"/>
    <mergeCell ref="A60:F60"/>
    <mergeCell ref="A62:F62"/>
    <mergeCell ref="A40:F40"/>
    <mergeCell ref="A42:F42"/>
    <mergeCell ref="A44:F44"/>
    <mergeCell ref="A46:F46"/>
    <mergeCell ref="A48:F48"/>
    <mergeCell ref="A50:F50"/>
    <mergeCell ref="A28:F28"/>
    <mergeCell ref="A30:F30"/>
    <mergeCell ref="A32:F32"/>
    <mergeCell ref="A34:F34"/>
    <mergeCell ref="A36:F36"/>
    <mergeCell ref="A38:F38"/>
    <mergeCell ref="A16:F16"/>
    <mergeCell ref="A18:F18"/>
    <mergeCell ref="A20:F20"/>
    <mergeCell ref="A22:F22"/>
    <mergeCell ref="A24:F24"/>
    <mergeCell ref="A26:F26"/>
    <mergeCell ref="A2:F2"/>
    <mergeCell ref="A6:F6"/>
    <mergeCell ref="A8:F8"/>
    <mergeCell ref="A10:F10"/>
    <mergeCell ref="A12:F12"/>
    <mergeCell ref="A14:F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26.00390625" style="0" bestFit="1" customWidth="1"/>
  </cols>
  <sheetData>
    <row r="1" spans="1:3" ht="15">
      <c r="A1" s="110" t="s">
        <v>141</v>
      </c>
      <c r="B1" s="111">
        <f>DATE(YEAR(TEST!D3),1,1)</f>
        <v>42736</v>
      </c>
      <c r="C1" t="s">
        <v>154</v>
      </c>
    </row>
    <row r="2" spans="1:2" ht="15">
      <c r="A2" s="112" t="s">
        <v>142</v>
      </c>
      <c r="B2" s="111">
        <f>ROUND(DATE(YEAR(B1),4,MOD(234-11*MOD(YEAR(B1),19),30))/7,0)*7-6</f>
        <v>42841</v>
      </c>
    </row>
    <row r="3" spans="1:2" ht="15">
      <c r="A3" s="112" t="s">
        <v>143</v>
      </c>
      <c r="B3" s="111">
        <f>B2+1</f>
        <v>42842</v>
      </c>
    </row>
    <row r="4" spans="1:2" ht="15">
      <c r="A4" s="112" t="s">
        <v>144</v>
      </c>
      <c r="B4" s="111">
        <f>B2+39</f>
        <v>42880</v>
      </c>
    </row>
    <row r="5" spans="1:2" ht="15">
      <c r="A5" s="110" t="s">
        <v>145</v>
      </c>
      <c r="B5" s="111">
        <f>DATE(YEAR(B1),5,1)</f>
        <v>42856</v>
      </c>
    </row>
    <row r="6" spans="1:2" ht="15">
      <c r="A6" s="110" t="s">
        <v>146</v>
      </c>
      <c r="B6" s="111">
        <f>DATE(YEAR(B1),5,8)</f>
        <v>42863</v>
      </c>
    </row>
    <row r="7" spans="1:2" ht="15">
      <c r="A7" s="112" t="s">
        <v>147</v>
      </c>
      <c r="B7" s="111">
        <f>B2+49</f>
        <v>42890</v>
      </c>
    </row>
    <row r="8" spans="1:2" ht="15">
      <c r="A8" s="112" t="s">
        <v>148</v>
      </c>
      <c r="B8" s="111">
        <f>B2+50</f>
        <v>42891</v>
      </c>
    </row>
    <row r="9" spans="1:2" ht="15">
      <c r="A9" s="110" t="s">
        <v>149</v>
      </c>
      <c r="B9" s="111">
        <f>DATE(YEAR(B1),7,14)</f>
        <v>42930</v>
      </c>
    </row>
    <row r="10" spans="1:2" ht="15">
      <c r="A10" s="110" t="s">
        <v>150</v>
      </c>
      <c r="B10" s="111">
        <f>DATE(YEAR(B1),8,15)</f>
        <v>42962</v>
      </c>
    </row>
    <row r="11" spans="1:2" ht="15">
      <c r="A11" s="110" t="s">
        <v>151</v>
      </c>
      <c r="B11" s="111">
        <f>DATE(YEAR(B1),11,1)</f>
        <v>43040</v>
      </c>
    </row>
    <row r="12" spans="1:2" ht="15">
      <c r="A12" s="110" t="s">
        <v>152</v>
      </c>
      <c r="B12" s="111">
        <f>DATE(YEAR(B1),11,11)</f>
        <v>43050</v>
      </c>
    </row>
    <row r="13" spans="1:2" ht="15">
      <c r="A13" s="112" t="s">
        <v>153</v>
      </c>
      <c r="B13" s="111">
        <f>DATE(YEAR(B1),12,25)</f>
        <v>43094</v>
      </c>
    </row>
    <row r="14" spans="1:2" ht="15">
      <c r="A14" s="110" t="s">
        <v>141</v>
      </c>
      <c r="B14" s="111">
        <f>DATE(YEAR(B1)+1,1,1)</f>
        <v>43101</v>
      </c>
    </row>
    <row r="15" spans="1:2" ht="15">
      <c r="A15" s="112" t="s">
        <v>142</v>
      </c>
      <c r="B15" s="111">
        <f>ROUND(DATE(YEAR(B14),4,MOD(234-11*MOD(YEAR(B14),19),30))/7,0)*7-6</f>
        <v>43191</v>
      </c>
    </row>
    <row r="16" spans="1:2" ht="15">
      <c r="A16" s="112" t="s">
        <v>143</v>
      </c>
      <c r="B16" s="111">
        <f>B15+1</f>
        <v>43192</v>
      </c>
    </row>
    <row r="17" spans="1:2" ht="15">
      <c r="A17" s="112" t="s">
        <v>144</v>
      </c>
      <c r="B17" s="111">
        <f>B15+39</f>
        <v>43230</v>
      </c>
    </row>
    <row r="18" spans="1:2" ht="15">
      <c r="A18" s="110" t="s">
        <v>145</v>
      </c>
      <c r="B18" s="111">
        <f>DATE(YEAR(B14),5,1)</f>
        <v>43221</v>
      </c>
    </row>
    <row r="19" spans="1:2" ht="15">
      <c r="A19" s="110" t="s">
        <v>146</v>
      </c>
      <c r="B19" s="111">
        <f>DATE(YEAR(B14),5,8)</f>
        <v>43228</v>
      </c>
    </row>
    <row r="20" spans="1:2" ht="15">
      <c r="A20" s="112" t="s">
        <v>147</v>
      </c>
      <c r="B20" s="111">
        <f>B15+49</f>
        <v>43240</v>
      </c>
    </row>
    <row r="21" spans="1:2" ht="15">
      <c r="A21" s="112" t="s">
        <v>148</v>
      </c>
      <c r="B21" s="111">
        <f>B15+50</f>
        <v>43241</v>
      </c>
    </row>
    <row r="22" spans="1:2" ht="15">
      <c r="A22" s="110" t="s">
        <v>149</v>
      </c>
      <c r="B22" s="111">
        <f>DATE(YEAR(B14),7,14)</f>
        <v>43295</v>
      </c>
    </row>
    <row r="23" spans="1:2" ht="15">
      <c r="A23" s="110" t="s">
        <v>150</v>
      </c>
      <c r="B23" s="111">
        <f>DATE(YEAR(B14),8,15)</f>
        <v>43327</v>
      </c>
    </row>
    <row r="24" spans="1:2" ht="15">
      <c r="A24" s="110" t="s">
        <v>151</v>
      </c>
      <c r="B24" s="111">
        <f>DATE(YEAR(B14),11,1)</f>
        <v>43405</v>
      </c>
    </row>
    <row r="25" spans="1:2" ht="15">
      <c r="A25" s="110" t="s">
        <v>152</v>
      </c>
      <c r="B25" s="111">
        <f>DATE(YEAR(B14),11,11)</f>
        <v>43415</v>
      </c>
    </row>
    <row r="26" spans="1:2" ht="15">
      <c r="A26" s="112" t="s">
        <v>153</v>
      </c>
      <c r="B26" s="111">
        <f>DATE(YEAR(B14),12,25)</f>
        <v>43459</v>
      </c>
    </row>
    <row r="27" spans="1:2" ht="15">
      <c r="A27" s="110" t="s">
        <v>141</v>
      </c>
      <c r="B27" s="111">
        <f>DATE(YEAR(B14)+1,1,1)</f>
        <v>43466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rousslae</dc:creator>
  <cp:keywords/>
  <dc:description/>
  <cp:lastModifiedBy>Jean-Luc Courtin</cp:lastModifiedBy>
  <dcterms:created xsi:type="dcterms:W3CDTF">2017-10-23T09:19:25Z</dcterms:created>
  <dcterms:modified xsi:type="dcterms:W3CDTF">2017-12-02T08:58:49Z</dcterms:modified>
  <cp:category/>
  <cp:version/>
  <cp:contentType/>
  <cp:contentStatus/>
</cp:coreProperties>
</file>