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 activeTab="1"/>
  </bookViews>
  <sheets>
    <sheet name="repise immo" sheetId="3" r:id="rId1"/>
    <sheet name="immo" sheetId="2" r:id="rId2"/>
    <sheet name="récap sub invest" sheetId="4" r:id="rId3"/>
    <sheet name="REGION " sheetId="5" r:id="rId4"/>
    <sheet name="ETAT " sheetId="6" r:id="rId5"/>
    <sheet name="DEPARTEMENT" sheetId="7" r:id="rId6"/>
    <sheet name="COMMUNE" sheetId="8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6" i="2" l="1"/>
  <c r="P31" i="4" l="1"/>
  <c r="P29" i="4"/>
  <c r="P22" i="4"/>
  <c r="P15" i="4"/>
  <c r="I8" i="4"/>
  <c r="H8" i="4"/>
  <c r="G8" i="4"/>
  <c r="F29" i="4"/>
  <c r="F22" i="4"/>
  <c r="F15" i="4"/>
  <c r="F8" i="4"/>
  <c r="D27" i="8"/>
  <c r="B11" i="8"/>
  <c r="D24" i="7"/>
  <c r="B10" i="7"/>
  <c r="D24" i="6"/>
  <c r="B10" i="6"/>
  <c r="G2" i="4"/>
  <c r="H2" i="4" s="1"/>
  <c r="I2" i="4" s="1"/>
  <c r="J2" i="4" s="1"/>
  <c r="K2" i="4" s="1"/>
  <c r="L2" i="4" s="1"/>
  <c r="M2" i="4" s="1"/>
  <c r="N2" i="4" s="1"/>
  <c r="O2" i="4" s="1"/>
  <c r="P2" i="4" s="1"/>
  <c r="E44" i="5"/>
  <c r="E41" i="5"/>
  <c r="E38" i="5"/>
  <c r="E35" i="5"/>
  <c r="E32" i="5"/>
  <c r="E29" i="5"/>
  <c r="E26" i="5"/>
  <c r="E22" i="5"/>
  <c r="E18" i="5"/>
  <c r="E14" i="5"/>
  <c r="B9" i="5"/>
  <c r="C8" i="5"/>
  <c r="C7" i="5"/>
  <c r="C6" i="5"/>
  <c r="F31" i="4" l="1"/>
  <c r="U39" i="2"/>
  <c r="U33" i="2"/>
  <c r="U32" i="2"/>
  <c r="C30" i="2"/>
  <c r="C49" i="2" s="1"/>
  <c r="C3" i="2"/>
  <c r="C9" i="2"/>
  <c r="C24" i="2" s="1"/>
  <c r="B49" i="2"/>
  <c r="H43" i="2"/>
  <c r="C28" i="2"/>
  <c r="C7" i="2"/>
  <c r="H26" i="2"/>
  <c r="V26" i="2" s="1"/>
  <c r="L24" i="2"/>
  <c r="M24" i="2"/>
  <c r="N24" i="2"/>
  <c r="O24" i="2"/>
  <c r="P24" i="2"/>
  <c r="Q24" i="2"/>
  <c r="R24" i="2"/>
  <c r="S24" i="2"/>
  <c r="L28" i="2"/>
  <c r="M28" i="2"/>
  <c r="M51" i="2" s="1"/>
  <c r="N28" i="2"/>
  <c r="O28" i="2"/>
  <c r="P28" i="2"/>
  <c r="Q28" i="2"/>
  <c r="R28" i="2"/>
  <c r="S28" i="2"/>
  <c r="T28" i="2"/>
  <c r="U28" i="2"/>
  <c r="AG28" i="2"/>
  <c r="AE24" i="2"/>
  <c r="AF24" i="2"/>
  <c r="AG24" i="2"/>
  <c r="B28" i="2"/>
  <c r="U23" i="2"/>
  <c r="U15" i="2"/>
  <c r="U16" i="2"/>
  <c r="L51" i="2" l="1"/>
  <c r="N51" i="2"/>
  <c r="C51" i="2"/>
  <c r="Q51" i="2"/>
  <c r="P51" i="2"/>
  <c r="O51" i="2"/>
  <c r="K32" i="2"/>
  <c r="K33" i="2"/>
  <c r="K34" i="2"/>
  <c r="K35" i="2"/>
  <c r="AJ35" i="2" s="1"/>
  <c r="K36" i="2"/>
  <c r="K37" i="2"/>
  <c r="AH37" i="2" s="1"/>
  <c r="K38" i="2"/>
  <c r="K39" i="2"/>
  <c r="K40" i="2"/>
  <c r="K41" i="2"/>
  <c r="K42" i="2"/>
  <c r="K43" i="2"/>
  <c r="K44" i="2"/>
  <c r="K45" i="2"/>
  <c r="K46" i="2"/>
  <c r="K47" i="2"/>
  <c r="K31" i="2"/>
  <c r="K11" i="2"/>
  <c r="K12" i="2"/>
  <c r="K13" i="2"/>
  <c r="K14" i="2"/>
  <c r="K15" i="2"/>
  <c r="K16" i="2"/>
  <c r="AJ16" i="2" s="1"/>
  <c r="K17" i="2"/>
  <c r="K18" i="2"/>
  <c r="K19" i="2"/>
  <c r="K20" i="2"/>
  <c r="K21" i="2"/>
  <c r="K22" i="2"/>
  <c r="K23" i="2"/>
  <c r="K26" i="2"/>
  <c r="K28" i="2" s="1"/>
  <c r="K10" i="2"/>
  <c r="K5" i="2"/>
  <c r="K4" i="2"/>
  <c r="AJ4" i="2" s="1"/>
  <c r="H44" i="2"/>
  <c r="V44" i="2" s="1"/>
  <c r="H45" i="2"/>
  <c r="V45" i="2" s="1"/>
  <c r="H46" i="2"/>
  <c r="V46" i="2" s="1"/>
  <c r="H47" i="2"/>
  <c r="V47" i="2" s="1"/>
  <c r="J37" i="2"/>
  <c r="AI37" i="2" s="1"/>
  <c r="AJ37" i="2" l="1"/>
  <c r="AJ47" i="2"/>
  <c r="AJ45" i="2"/>
  <c r="AJ46" i="2"/>
  <c r="AJ44" i="2"/>
  <c r="U43" i="2"/>
  <c r="V43" i="2" s="1"/>
  <c r="AJ43" i="2" s="1"/>
  <c r="U42" i="2"/>
  <c r="V42" i="2" s="1"/>
  <c r="AJ42" i="2" s="1"/>
  <c r="U41" i="2"/>
  <c r="V41" i="2" s="1"/>
  <c r="AJ41" i="2" s="1"/>
  <c r="U40" i="2"/>
  <c r="V40" i="2" s="1"/>
  <c r="AJ40" i="2" s="1"/>
  <c r="V39" i="2"/>
  <c r="AJ39" i="2" s="1"/>
  <c r="X38" i="2"/>
  <c r="W38" i="2"/>
  <c r="U38" i="2"/>
  <c r="V38" i="2" s="1"/>
  <c r="U36" i="2"/>
  <c r="V36" i="2" s="1"/>
  <c r="AJ36" i="2" s="1"/>
  <c r="I35" i="2"/>
  <c r="U34" i="2"/>
  <c r="V34" i="2" s="1"/>
  <c r="AJ34" i="2" s="1"/>
  <c r="V33" i="2"/>
  <c r="AJ33" i="2" s="1"/>
  <c r="V32" i="2"/>
  <c r="AJ32" i="2" s="1"/>
  <c r="U31" i="2"/>
  <c r="X23" i="2"/>
  <c r="X24" i="2" s="1"/>
  <c r="Y23" i="2"/>
  <c r="Y24" i="2" s="1"/>
  <c r="Z23" i="2"/>
  <c r="AA23" i="2"/>
  <c r="AB23" i="2"/>
  <c r="AB24" i="2" s="1"/>
  <c r="AC23" i="2"/>
  <c r="AC24" i="2" s="1"/>
  <c r="AD23" i="2"/>
  <c r="W23" i="2"/>
  <c r="W24" i="2" s="1"/>
  <c r="V23" i="2"/>
  <c r="AJ23" i="2" s="1"/>
  <c r="U22" i="2"/>
  <c r="V22" i="2" s="1"/>
  <c r="U21" i="2"/>
  <c r="V21" i="2" s="1"/>
  <c r="AJ21" i="2" s="1"/>
  <c r="U20" i="2"/>
  <c r="V20" i="2" s="1"/>
  <c r="AJ20" i="2" s="1"/>
  <c r="U19" i="2"/>
  <c r="V19" i="2" s="1"/>
  <c r="AJ19" i="2" s="1"/>
  <c r="U18" i="2"/>
  <c r="V18" i="2" s="1"/>
  <c r="AJ18" i="2" s="1"/>
  <c r="U17" i="2"/>
  <c r="V17" i="2" s="1"/>
  <c r="AJ17" i="2" s="1"/>
  <c r="V15" i="2"/>
  <c r="AJ15" i="2" s="1"/>
  <c r="U14" i="2"/>
  <c r="V14" i="2" s="1"/>
  <c r="AJ14" i="2" s="1"/>
  <c r="U49" i="2" l="1"/>
  <c r="V31" i="2"/>
  <c r="AJ31" i="2" s="1"/>
  <c r="AJ22" i="2"/>
  <c r="V54" i="2"/>
  <c r="I38" i="2"/>
  <c r="AJ38" i="2"/>
  <c r="J35" i="2"/>
  <c r="AI35" i="2" s="1"/>
  <c r="AH35" i="2"/>
  <c r="W34" i="2"/>
  <c r="I36" i="2"/>
  <c r="AH36" i="2" s="1"/>
  <c r="U13" i="2"/>
  <c r="V13" i="2" s="1"/>
  <c r="AJ13" i="2" s="1"/>
  <c r="U12" i="2"/>
  <c r="V12" i="2" s="1"/>
  <c r="AJ12" i="2" s="1"/>
  <c r="U11" i="2"/>
  <c r="V11" i="2" s="1"/>
  <c r="AJ11" i="2" s="1"/>
  <c r="U10" i="2"/>
  <c r="U5" i="2"/>
  <c r="U7" i="2" s="1"/>
  <c r="I4" i="2"/>
  <c r="AH4" i="2" s="1"/>
  <c r="H38" i="2"/>
  <c r="AJ49" i="2" l="1"/>
  <c r="V10" i="2"/>
  <c r="U24" i="2"/>
  <c r="U51" i="2" s="1"/>
  <c r="J38" i="2"/>
  <c r="AI38" i="2" s="1"/>
  <c r="AH38" i="2"/>
  <c r="J4" i="2"/>
  <c r="AI4" i="2" s="1"/>
  <c r="J36" i="2"/>
  <c r="AI36" i="2" s="1"/>
  <c r="V5" i="2"/>
  <c r="AJ5" i="2" s="1"/>
  <c r="H32" i="2"/>
  <c r="H33" i="2"/>
  <c r="H34" i="2"/>
  <c r="H35" i="2"/>
  <c r="H36" i="2"/>
  <c r="H37" i="2"/>
  <c r="H39" i="2"/>
  <c r="H40" i="2"/>
  <c r="H41" i="2"/>
  <c r="H42" i="2"/>
  <c r="H31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8" i="2"/>
  <c r="H10" i="2"/>
  <c r="H5" i="2"/>
  <c r="H4" i="2"/>
  <c r="H24" i="2" l="1"/>
  <c r="AJ10" i="2"/>
  <c r="AJ24" i="2" s="1"/>
  <c r="V24" i="2"/>
  <c r="H49" i="2"/>
  <c r="D29" i="4"/>
  <c r="B29" i="4"/>
  <c r="D22" i="4"/>
  <c r="B22" i="4"/>
  <c r="D15" i="4"/>
  <c r="B15" i="4"/>
  <c r="B8" i="4"/>
  <c r="C6" i="4" s="1"/>
  <c r="H7" i="2"/>
  <c r="H51" i="2" l="1"/>
  <c r="C7" i="4"/>
  <c r="O22" i="4"/>
  <c r="H22" i="4"/>
  <c r="G22" i="4"/>
  <c r="I22" i="4"/>
  <c r="K22" i="4"/>
  <c r="N22" i="4"/>
  <c r="L22" i="4"/>
  <c r="J22" i="4"/>
  <c r="M22" i="4"/>
  <c r="H29" i="4"/>
  <c r="G29" i="4"/>
  <c r="I29" i="4"/>
  <c r="M29" i="4"/>
  <c r="J29" i="4"/>
  <c r="L29" i="4"/>
  <c r="K29" i="4"/>
  <c r="O29" i="4"/>
  <c r="N29" i="4"/>
  <c r="H15" i="4"/>
  <c r="H31" i="4" s="1"/>
  <c r="G15" i="4"/>
  <c r="G31" i="4" s="1"/>
  <c r="I15" i="4"/>
  <c r="I31" i="4" s="1"/>
  <c r="J15" i="4"/>
  <c r="J31" i="4" s="1"/>
  <c r="O15" i="4"/>
  <c r="O31" i="4" s="1"/>
  <c r="K15" i="4"/>
  <c r="M15" i="4"/>
  <c r="L15" i="4"/>
  <c r="N15" i="4"/>
  <c r="C5" i="4"/>
  <c r="L31" i="4" l="1"/>
  <c r="M31" i="4"/>
  <c r="N31" i="4"/>
  <c r="K31" i="4"/>
  <c r="I5" i="2"/>
  <c r="AH5" i="2" s="1"/>
  <c r="I6" i="2"/>
  <c r="I10" i="2"/>
  <c r="I11" i="2"/>
  <c r="AH11" i="2" s="1"/>
  <c r="I12" i="2"/>
  <c r="AH12" i="2" s="1"/>
  <c r="I13" i="2"/>
  <c r="AH13" i="2" s="1"/>
  <c r="I14" i="2"/>
  <c r="AH14" i="2" s="1"/>
  <c r="I15" i="2"/>
  <c r="AH15" i="2" s="1"/>
  <c r="I16" i="2"/>
  <c r="AH16" i="2" s="1"/>
  <c r="I17" i="2"/>
  <c r="AH17" i="2" s="1"/>
  <c r="I18" i="2"/>
  <c r="AH18" i="2" s="1"/>
  <c r="I19" i="2"/>
  <c r="AH19" i="2" s="1"/>
  <c r="I20" i="2"/>
  <c r="AH20" i="2" s="1"/>
  <c r="I21" i="2"/>
  <c r="AH21" i="2" s="1"/>
  <c r="I22" i="2"/>
  <c r="AH22" i="2" s="1"/>
  <c r="I23" i="2"/>
  <c r="AH23" i="2" s="1"/>
  <c r="I31" i="2"/>
  <c r="AH31" i="2" s="1"/>
  <c r="I32" i="2"/>
  <c r="AH32" i="2" s="1"/>
  <c r="I33" i="2"/>
  <c r="AH33" i="2" s="1"/>
  <c r="I34" i="2"/>
  <c r="AH34" i="2" s="1"/>
  <c r="I39" i="2"/>
  <c r="AH39" i="2" s="1"/>
  <c r="I40" i="2"/>
  <c r="AH40" i="2" s="1"/>
  <c r="I41" i="2"/>
  <c r="AH41" i="2" s="1"/>
  <c r="I42" i="2"/>
  <c r="AH42" i="2" s="1"/>
  <c r="I43" i="2"/>
  <c r="AH43" i="2" s="1"/>
  <c r="AH10" i="2" l="1"/>
  <c r="AH24" i="2" s="1"/>
  <c r="I24" i="2"/>
  <c r="J40" i="2"/>
  <c r="AI40" i="2" s="1"/>
  <c r="J42" i="2"/>
  <c r="AI42" i="2" s="1"/>
  <c r="J23" i="2"/>
  <c r="AI23" i="2" s="1"/>
  <c r="J15" i="2"/>
  <c r="AI15" i="2" s="1"/>
  <c r="J41" i="2"/>
  <c r="AI41" i="2" s="1"/>
  <c r="J22" i="2"/>
  <c r="AI22" i="2" s="1"/>
  <c r="J14" i="2"/>
  <c r="AI14" i="2" s="1"/>
  <c r="J21" i="2"/>
  <c r="AI21" i="2" s="1"/>
  <c r="J13" i="2"/>
  <c r="AI13" i="2" s="1"/>
  <c r="J39" i="2"/>
  <c r="AI39" i="2" s="1"/>
  <c r="J20" i="2"/>
  <c r="AI20" i="2" s="1"/>
  <c r="J12" i="2"/>
  <c r="AI12" i="2" s="1"/>
  <c r="J34" i="2"/>
  <c r="AI34" i="2" s="1"/>
  <c r="J19" i="2"/>
  <c r="AI19" i="2" s="1"/>
  <c r="J11" i="2"/>
  <c r="AI11" i="2" s="1"/>
  <c r="J33" i="2"/>
  <c r="AI33" i="2" s="1"/>
  <c r="J18" i="2"/>
  <c r="AI18" i="2" s="1"/>
  <c r="J10" i="2"/>
  <c r="AI10" i="2" s="1"/>
  <c r="J32" i="2"/>
  <c r="AI32" i="2" s="1"/>
  <c r="J17" i="2"/>
  <c r="AI17" i="2" s="1"/>
  <c r="J43" i="2"/>
  <c r="AI43" i="2" s="1"/>
  <c r="J31" i="2"/>
  <c r="AI31" i="2" s="1"/>
  <c r="J16" i="2"/>
  <c r="AI16" i="2" s="1"/>
  <c r="J5" i="2"/>
  <c r="AI5" i="2" s="1"/>
  <c r="AH7" i="2"/>
  <c r="Y7" i="2"/>
  <c r="Z7" i="2"/>
  <c r="AA7" i="2"/>
  <c r="AB7" i="2"/>
  <c r="AC7" i="2"/>
  <c r="AD7" i="2"/>
  <c r="AE7" i="2"/>
  <c r="AF7" i="2"/>
  <c r="AG7" i="2"/>
  <c r="AG51" i="2" s="1"/>
  <c r="AA49" i="2"/>
  <c r="AB49" i="2"/>
  <c r="AC49" i="2"/>
  <c r="AD49" i="2"/>
  <c r="AE49" i="2"/>
  <c r="AF49" i="2"/>
  <c r="AG49" i="2"/>
  <c r="T49" i="2"/>
  <c r="T9" i="2"/>
  <c r="T24" i="2" s="1"/>
  <c r="AD18" i="2"/>
  <c r="AA24" i="2"/>
  <c r="AD12" i="2"/>
  <c r="Z24" i="2"/>
  <c r="AD24" i="2" l="1"/>
  <c r="I47" i="2"/>
  <c r="AH47" i="2" s="1"/>
  <c r="I46" i="2"/>
  <c r="AH46" i="2" s="1"/>
  <c r="I45" i="2"/>
  <c r="AH45" i="2" s="1"/>
  <c r="I44" i="2"/>
  <c r="AH44" i="2" s="1"/>
  <c r="V49" i="2"/>
  <c r="B30" i="2"/>
  <c r="J30" i="2" s="1"/>
  <c r="K30" i="2" s="1"/>
  <c r="K49" i="2" s="1"/>
  <c r="B9" i="2"/>
  <c r="B24" i="2" s="1"/>
  <c r="B62" i="3"/>
  <c r="B15" i="3"/>
  <c r="AI9" i="2" l="1"/>
  <c r="AI24" i="2" s="1"/>
  <c r="J9" i="2"/>
  <c r="J24" i="2" s="1"/>
  <c r="J45" i="2"/>
  <c r="AI45" i="2" s="1"/>
  <c r="J47" i="2"/>
  <c r="AI47" i="2" s="1"/>
  <c r="AH49" i="2"/>
  <c r="J44" i="2"/>
  <c r="AI44" i="2" s="1"/>
  <c r="J46" i="2"/>
  <c r="AI46" i="2" s="1"/>
  <c r="AI30" i="2"/>
  <c r="I49" i="2"/>
  <c r="B3" i="2"/>
  <c r="J3" i="2" s="1"/>
  <c r="B6" i="3"/>
  <c r="AI49" i="2" l="1"/>
  <c r="J7" i="2"/>
  <c r="K3" i="2"/>
  <c r="K7" i="2" s="1"/>
  <c r="J49" i="2"/>
  <c r="K9" i="2"/>
  <c r="K24" i="2" s="1"/>
  <c r="B7" i="2"/>
  <c r="B51" i="2" s="1"/>
  <c r="AI3" i="2"/>
  <c r="S7" i="2"/>
  <c r="S51" i="2" s="1"/>
  <c r="T7" i="2"/>
  <c r="T51" i="2" s="1"/>
  <c r="V7" i="2"/>
  <c r="W7" i="2"/>
  <c r="X7" i="2"/>
  <c r="R7" i="2"/>
  <c r="R51" i="2" s="1"/>
  <c r="I7" i="2" l="1"/>
  <c r="K51" i="2"/>
  <c r="AA28" i="2"/>
  <c r="AA51" i="2" s="1"/>
  <c r="AB28" i="2"/>
  <c r="AB51" i="2" s="1"/>
  <c r="AC28" i="2"/>
  <c r="AC51" i="2" s="1"/>
  <c r="AD28" i="2"/>
  <c r="AD51" i="2" s="1"/>
  <c r="AE28" i="2"/>
  <c r="AE51" i="2" s="1"/>
  <c r="M1" i="2" l="1"/>
  <c r="N1" i="2" s="1"/>
  <c r="O1" i="2" s="1"/>
  <c r="P1" i="2" s="1"/>
  <c r="Q1" i="2" s="1"/>
  <c r="R1" i="2" s="1"/>
  <c r="S1" i="2" s="1"/>
  <c r="T1" i="2" s="1"/>
  <c r="V1" i="2" s="1"/>
  <c r="W1" i="2" s="1"/>
  <c r="W26" i="2"/>
  <c r="W44" i="2"/>
  <c r="W47" i="2"/>
  <c r="W46" i="2"/>
  <c r="W45" i="2"/>
  <c r="W54" i="2" l="1"/>
  <c r="W49" i="2"/>
  <c r="W28" i="2"/>
  <c r="X1" i="2"/>
  <c r="AI7" i="2"/>
  <c r="X44" i="2"/>
  <c r="X47" i="2"/>
  <c r="X46" i="2"/>
  <c r="X45" i="2"/>
  <c r="X26" i="2"/>
  <c r="W51" i="2" l="1"/>
  <c r="W55" i="2" s="1"/>
  <c r="X28" i="2"/>
  <c r="X49" i="2"/>
  <c r="Y1" i="2"/>
  <c r="AJ7" i="2"/>
  <c r="Y44" i="2"/>
  <c r="Y45" i="2"/>
  <c r="Y46" i="2"/>
  <c r="Y47" i="2"/>
  <c r="Y26" i="2"/>
  <c r="Y28" i="2" l="1"/>
  <c r="Y49" i="2"/>
  <c r="Z1" i="2"/>
  <c r="X51" i="2"/>
  <c r="V28" i="2"/>
  <c r="V51" i="2" s="1"/>
  <c r="V55" i="2" s="1"/>
  <c r="AF28" i="2"/>
  <c r="AF51" i="2" s="1"/>
  <c r="I26" i="2"/>
  <c r="AJ26" i="2"/>
  <c r="AJ28" i="2" s="1"/>
  <c r="AJ51" i="2" s="1"/>
  <c r="Z31" i="2"/>
  <c r="Z45" i="2"/>
  <c r="Z26" i="2"/>
  <c r="Z28" i="2" l="1"/>
  <c r="Z49" i="2"/>
  <c r="I28" i="2"/>
  <c r="I51" i="2" s="1"/>
  <c r="AH26" i="2"/>
  <c r="AH28" i="2" s="1"/>
  <c r="AH51" i="2" s="1"/>
  <c r="AA1" i="2"/>
  <c r="AB1" i="2" s="1"/>
  <c r="AC1" i="2" s="1"/>
  <c r="AD1" i="2" s="1"/>
  <c r="AE1" i="2" s="1"/>
  <c r="AF1" i="2" s="1"/>
  <c r="AG1" i="2" s="1"/>
  <c r="Y51" i="2"/>
  <c r="J26" i="2"/>
  <c r="J28" i="2" s="1"/>
  <c r="J51" i="2" s="1"/>
  <c r="AI26" i="2" l="1"/>
  <c r="AI28" i="2" s="1"/>
  <c r="AI51" i="2" s="1"/>
  <c r="Z51" i="2"/>
</calcChain>
</file>

<file path=xl/sharedStrings.xml><?xml version="1.0" encoding="utf-8"?>
<sst xmlns="http://schemas.openxmlformats.org/spreadsheetml/2006/main" count="285" uniqueCount="164">
  <si>
    <t>Valeur d'actif</t>
  </si>
  <si>
    <t>Date d'acqu.</t>
  </si>
  <si>
    <t>M</t>
  </si>
  <si>
    <t>Durée</t>
  </si>
  <si>
    <t>Taux (%)</t>
  </si>
  <si>
    <t>IMMOBILISATIONS</t>
  </si>
  <si>
    <t>L</t>
  </si>
  <si>
    <t xml:space="preserve">Serui Menuiserie (Amenagement) </t>
  </si>
  <si>
    <t xml:space="preserve">Servi Menuiserie (Siége) Amgts + Bureau </t>
  </si>
  <si>
    <t xml:space="preserve">PSA Amgt Bureau Die </t>
  </si>
  <si>
    <t xml:space="preserve">PSA Aménagement -Armoire Compta </t>
  </si>
  <si>
    <t>Saint-Maclou- Sols Salles Nord</t>
  </si>
  <si>
    <t xml:space="preserve">Servi Menuiserie- Cloisons Salle Nord Gauche </t>
  </si>
  <si>
    <t>IP Multiservice - Peinture Salle Nord Gauche</t>
  </si>
  <si>
    <t>PSA Amenagement - Mobilier Compte</t>
  </si>
  <si>
    <t xml:space="preserve">Amgt bureau DIE ETS GÉNÉRALE DU BATIMENT </t>
  </si>
  <si>
    <t>ORANGE CABLAGE TELEPHONIQUE</t>
  </si>
  <si>
    <t>MEGAO PC CREST ET LIVRON</t>
  </si>
  <si>
    <t>VERPILLER PEINTURE/ LOCAUX CREST</t>
  </si>
  <si>
    <t>MEGAO PORTABLE GJ</t>
  </si>
  <si>
    <t xml:space="preserve">MEGAO PC (PC  LIVRON) </t>
  </si>
  <si>
    <t>GERVANNE PLOMBERIE/REFECTION LUMIERE LOCAUX CREST</t>
  </si>
  <si>
    <t xml:space="preserve">MEGAO CLIENTS LEGERS (GJ LIVRON) </t>
  </si>
  <si>
    <t>MEGAO SWITCH ET ROUTEUR (GJ LIVRON)</t>
  </si>
  <si>
    <t xml:space="preserve">EDRELEC/CABLAGE INFORMATIQUE (GJ LIVRON) </t>
  </si>
  <si>
    <t>MEGAO CLIENT LEGER (LIVRON)</t>
  </si>
  <si>
    <t>ORANGE/DEMENAGEMENT DIE</t>
  </si>
  <si>
    <t>MEGAO PC RESPONSABLE SAPP (CREST)</t>
  </si>
  <si>
    <t>MEGAO CLIENT LEGER  (DIE)</t>
  </si>
  <si>
    <t>MEGAO CLIENT LEGER  (GARANTIE JEUNES)</t>
  </si>
  <si>
    <t>EDRELEC/CABLAGE LOCAUX CREST</t>
  </si>
  <si>
    <t>JP Multi Services /  Bureau Daniel + Hall</t>
  </si>
  <si>
    <t>MEGAO Licences Antivirus</t>
  </si>
  <si>
    <t xml:space="preserve">GERVANNE PLOMBERIE/WC Locaux  CREST </t>
  </si>
  <si>
    <t>MEGAO disques durs et mémoires (siège)</t>
  </si>
  <si>
    <t>CRESTOISE MENUISERIE/ Locaux Crest</t>
  </si>
  <si>
    <t>REPRISE VALEUR ACTIF</t>
  </si>
  <si>
    <t>logiciel compta</t>
  </si>
  <si>
    <t>logiciel paye</t>
  </si>
  <si>
    <t>licence Isacompta</t>
  </si>
  <si>
    <t>Installation téléphonique (Die)</t>
  </si>
  <si>
    <t>Installation informatique (siège)</t>
  </si>
  <si>
    <t>Installation informatique (Livron)</t>
  </si>
  <si>
    <t>Cablage informatique (Die)</t>
  </si>
  <si>
    <t>installation téléphone (Livron)</t>
  </si>
  <si>
    <t>travaux appart ponet alt(Moses)</t>
  </si>
  <si>
    <t>04.09</t>
  </si>
  <si>
    <t>08.09</t>
  </si>
  <si>
    <t>04.15</t>
  </si>
  <si>
    <t>Mobilier de bureau (crest)</t>
  </si>
  <si>
    <t>04.92</t>
  </si>
  <si>
    <t>04.93</t>
  </si>
  <si>
    <t>08.93</t>
  </si>
  <si>
    <t>Mobilier de bureau (52)</t>
  </si>
  <si>
    <t>12.94</t>
  </si>
  <si>
    <t>Mob de bureau (52)</t>
  </si>
  <si>
    <t>07.95</t>
  </si>
  <si>
    <t>Mobilier de bureau (Siège)</t>
  </si>
  <si>
    <t>02.96</t>
  </si>
  <si>
    <t>Matériel bureau doc (Livron)</t>
  </si>
  <si>
    <t>04.97</t>
  </si>
  <si>
    <t>Mobilier de bureau (Die)</t>
  </si>
  <si>
    <t>01.98</t>
  </si>
  <si>
    <t>Mobilier de bureau (siège+Crest)</t>
  </si>
  <si>
    <t>09.99</t>
  </si>
  <si>
    <t>Mobilier de bureau (Crest)</t>
  </si>
  <si>
    <t>10.99</t>
  </si>
  <si>
    <t>05.00</t>
  </si>
  <si>
    <t>Matériel de bureau (siège)</t>
  </si>
  <si>
    <t>12.00</t>
  </si>
  <si>
    <t>Matériel informatique (Mégao)</t>
  </si>
  <si>
    <t>09.02</t>
  </si>
  <si>
    <t>10.02</t>
  </si>
  <si>
    <t>01.04</t>
  </si>
  <si>
    <t>05.04</t>
  </si>
  <si>
    <t>09.04</t>
  </si>
  <si>
    <t>Fax Crest (Ricoh)</t>
  </si>
  <si>
    <t>10.04</t>
  </si>
  <si>
    <t>01.05</t>
  </si>
  <si>
    <t>Mobilier de bureau (Buro conseil)</t>
  </si>
  <si>
    <t>10.05</t>
  </si>
  <si>
    <t>Vidéo projecteur (ctef)</t>
  </si>
  <si>
    <t>12.06</t>
  </si>
  <si>
    <t>Matériel informatique (mégao)</t>
  </si>
  <si>
    <t>02.07</t>
  </si>
  <si>
    <t>10.07</t>
  </si>
  <si>
    <t>Imprimante (mégao)</t>
  </si>
  <si>
    <t>03.08</t>
  </si>
  <si>
    <t>10.08</t>
  </si>
  <si>
    <t>11.08</t>
  </si>
  <si>
    <t>01.09</t>
  </si>
  <si>
    <t>07.09</t>
  </si>
  <si>
    <t>Fax Livron (Ricoh)</t>
  </si>
  <si>
    <t>09.09</t>
  </si>
  <si>
    <t>Routeur firewall (mégao)</t>
  </si>
  <si>
    <t>06.10</t>
  </si>
  <si>
    <t>informatique 2 pc Crest (mégao)</t>
  </si>
  <si>
    <t>08.10</t>
  </si>
  <si>
    <t>informatique 1 pc livron (mégao)</t>
  </si>
  <si>
    <t>09.10</t>
  </si>
  <si>
    <t>05.11</t>
  </si>
  <si>
    <t>11.11</t>
  </si>
  <si>
    <t>Matériel informatique  (Mégao)</t>
  </si>
  <si>
    <t>09.12</t>
  </si>
  <si>
    <t>cablage téléphonique (Die)</t>
  </si>
  <si>
    <t>Mobilier bureau (ctef)</t>
  </si>
  <si>
    <t>02.06</t>
  </si>
  <si>
    <t>reprise valeur actif</t>
  </si>
  <si>
    <t>GJ</t>
  </si>
  <si>
    <t>Total</t>
  </si>
  <si>
    <t>entrée</t>
  </si>
  <si>
    <t>sortie</t>
  </si>
  <si>
    <t>serveur</t>
  </si>
  <si>
    <t>cloison</t>
  </si>
  <si>
    <t>menuiserie</t>
  </si>
  <si>
    <t>TOTAL</t>
  </si>
  <si>
    <t>REGION</t>
  </si>
  <si>
    <t>ACHAT</t>
  </si>
  <si>
    <t>SUB</t>
  </si>
  <si>
    <t>créstoise menuiserie</t>
  </si>
  <si>
    <t>Verpiller peinture</t>
  </si>
  <si>
    <t>gervanne plomberie</t>
  </si>
  <si>
    <t>gervanne electricité</t>
  </si>
  <si>
    <t>ETAT</t>
  </si>
  <si>
    <t xml:space="preserve">ACHAT </t>
  </si>
  <si>
    <t>DEPARTEMENT</t>
  </si>
  <si>
    <t xml:space="preserve">COMMUNE </t>
  </si>
  <si>
    <t>Crest</t>
  </si>
  <si>
    <t>CCCPS</t>
  </si>
  <si>
    <t>MEGAO 2 CLIENT LEGER  (GARANTIE JEUNES)</t>
  </si>
  <si>
    <t>MEGAO 1 CLIENT LEGER  (GARANTIE JEUNES)</t>
  </si>
  <si>
    <t>MEGAO ECRAN   (GARANTIE JEUNES)</t>
  </si>
  <si>
    <t>ECRAN LED SOLDE VOL DU 14/11/2016</t>
  </si>
  <si>
    <t>Valeur clôture</t>
  </si>
  <si>
    <t>cumul amort</t>
  </si>
  <si>
    <t>VNC</t>
  </si>
  <si>
    <t>rég dot antérieur</t>
  </si>
  <si>
    <t>reprise</t>
  </si>
  <si>
    <t>amnrt cumulé</t>
  </si>
  <si>
    <t>IMMO INCORPORELLES - 205000 -</t>
  </si>
  <si>
    <t>INST AGT AMGTS IMMEUBLE - 213500 -</t>
  </si>
  <si>
    <t>Valeur ouverture</t>
  </si>
  <si>
    <t>INSTAL AGTS MGTS - 218100 -</t>
  </si>
  <si>
    <t xml:space="preserve">MATERIEL MOB BUREAU - 218300 - </t>
  </si>
  <si>
    <t xml:space="preserve">Calcul de la dépense </t>
  </si>
  <si>
    <t>Tx affectation</t>
  </si>
  <si>
    <t>subvention</t>
  </si>
  <si>
    <t>8895,34/3</t>
  </si>
  <si>
    <t>*5:12</t>
  </si>
  <si>
    <t>942,07/10</t>
  </si>
  <si>
    <t>*6/12</t>
  </si>
  <si>
    <t>1485,59/10</t>
  </si>
  <si>
    <t>*7/12</t>
  </si>
  <si>
    <t>REGION 2009</t>
  </si>
  <si>
    <t>facures</t>
  </si>
  <si>
    <t>dotation annuelle</t>
  </si>
  <si>
    <t>subvention direccte</t>
  </si>
  <si>
    <t>4 mois</t>
  </si>
  <si>
    <t>subvention CG26</t>
  </si>
  <si>
    <t xml:space="preserve">DEPARTEMENT </t>
  </si>
  <si>
    <t>factures</t>
  </si>
  <si>
    <t>DOTATION</t>
  </si>
  <si>
    <t>TAUX</t>
  </si>
  <si>
    <t>Total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</si>
</sst>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d/m/yy\ h:mm;@"/>
  </numFmts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30303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ADDF1"/>
        <bgColor rgb="FFAADDF1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0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4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4" fontId="7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readingOrder="1"/>
    </xf>
    <xf numFmtId="0" fontId="0" fillId="0" borderId="0" xfId="0" applyFill="1"/>
    <xf numFmtId="4" fontId="4" fillId="0" borderId="0" xfId="0" applyNumberFormat="1" applyFont="1"/>
    <xf numFmtId="165" fontId="0" fillId="0" borderId="0" xfId="0" applyNumberFormat="1"/>
    <xf numFmtId="4" fontId="0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4" fontId="11" fillId="0" borderId="1" xfId="0" applyNumberFormat="1" applyFont="1" applyFill="1" applyBorder="1" applyAlignment="1" applyProtection="1"/>
    <xf numFmtId="4" fontId="11" fillId="0" borderId="2" xfId="0" applyNumberFormat="1" applyFont="1" applyFill="1" applyBorder="1" applyAlignment="1" applyProtection="1"/>
    <xf numFmtId="14" fontId="9" fillId="0" borderId="0" xfId="0" applyNumberFormat="1" applyFont="1" applyBorder="1" applyAlignment="1">
      <alignment horizontal="center" vertical="center"/>
    </xf>
    <xf numFmtId="165" fontId="11" fillId="0" borderId="3" xfId="0" applyNumberFormat="1" applyFont="1" applyFill="1" applyBorder="1" applyAlignment="1" applyProtection="1">
      <alignment horizontal="center"/>
    </xf>
    <xf numFmtId="0" fontId="11" fillId="0" borderId="3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right"/>
    </xf>
    <xf numFmtId="4" fontId="8" fillId="0" borderId="0" xfId="0" applyNumberFormat="1" applyFont="1"/>
    <xf numFmtId="165" fontId="11" fillId="0" borderId="5" xfId="0" applyNumberFormat="1" applyFont="1" applyFill="1" applyBorder="1" applyAlignment="1" applyProtection="1">
      <alignment horizontal="center"/>
    </xf>
    <xf numFmtId="8" fontId="11" fillId="0" borderId="1" xfId="0" applyNumberFormat="1" applyFont="1" applyFill="1" applyBorder="1" applyAlignment="1" applyProtection="1"/>
    <xf numFmtId="4" fontId="11" fillId="0" borderId="4" xfId="0" applyNumberFormat="1" applyFont="1" applyFill="1" applyBorder="1" applyAlignment="1" applyProtection="1"/>
    <xf numFmtId="14" fontId="11" fillId="0" borderId="5" xfId="0" applyNumberFormat="1" applyFont="1" applyFill="1" applyBorder="1" applyAlignment="1" applyProtection="1">
      <alignment horizontal="center"/>
    </xf>
    <xf numFmtId="4" fontId="9" fillId="0" borderId="0" xfId="0" applyNumberFormat="1" applyFont="1"/>
    <xf numFmtId="0" fontId="0" fillId="0" borderId="6" xfId="0" applyBorder="1" applyAlignment="1">
      <alignment horizontal="center"/>
    </xf>
    <xf numFmtId="0" fontId="0" fillId="0" borderId="6" xfId="0" applyBorder="1"/>
    <xf numFmtId="4" fontId="0" fillId="0" borderId="6" xfId="0" applyNumberFormat="1" applyBorder="1"/>
    <xf numFmtId="0" fontId="0" fillId="0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" fontId="0" fillId="3" borderId="0" xfId="0" applyNumberFormat="1" applyFill="1" applyBorder="1"/>
    <xf numFmtId="0" fontId="0" fillId="0" borderId="7" xfId="0" applyBorder="1"/>
    <xf numFmtId="4" fontId="0" fillId="0" borderId="7" xfId="0" applyNumberFormat="1" applyBorder="1" applyAlignment="1">
      <alignment horizontal="right"/>
    </xf>
    <xf numFmtId="4" fontId="0" fillId="0" borderId="7" xfId="1" applyNumberFormat="1" applyFont="1" applyBorder="1"/>
    <xf numFmtId="4" fontId="0" fillId="0" borderId="7" xfId="0" applyNumberFormat="1" applyBorder="1"/>
    <xf numFmtId="0" fontId="0" fillId="0" borderId="7" xfId="0" applyBorder="1" applyAlignment="1">
      <alignment horizontal="right"/>
    </xf>
    <xf numFmtId="4" fontId="0" fillId="4" borderId="7" xfId="0" applyNumberFormat="1" applyFill="1" applyBorder="1" applyAlignment="1">
      <alignment horizontal="right"/>
    </xf>
    <xf numFmtId="4" fontId="0" fillId="4" borderId="7" xfId="0" applyNumberFormat="1" applyFill="1" applyBorder="1"/>
    <xf numFmtId="3" fontId="0" fillId="3" borderId="7" xfId="0" applyNumberFormat="1" applyFill="1" applyBorder="1"/>
    <xf numFmtId="3" fontId="0" fillId="0" borderId="7" xfId="0" applyNumberFormat="1" applyFill="1" applyBorder="1"/>
    <xf numFmtId="4" fontId="0" fillId="3" borderId="7" xfId="0" applyNumberFormat="1" applyFill="1" applyBorder="1"/>
    <xf numFmtId="0" fontId="0" fillId="0" borderId="8" xfId="0" applyFill="1" applyBorder="1" applyAlignment="1">
      <alignment horizontal="left"/>
    </xf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4" fillId="0" borderId="9" xfId="0" applyFont="1" applyBorder="1"/>
    <xf numFmtId="4" fontId="0" fillId="0" borderId="0" xfId="0" applyNumberFormat="1" applyBorder="1"/>
    <xf numFmtId="0" fontId="8" fillId="0" borderId="9" xfId="0" applyFont="1" applyBorder="1" applyAlignment="1">
      <alignment horizontal="left"/>
    </xf>
    <xf numFmtId="4" fontId="0" fillId="0" borderId="3" xfId="0" applyNumberFormat="1" applyBorder="1"/>
    <xf numFmtId="0" fontId="8" fillId="0" borderId="9" xfId="0" applyFont="1" applyBorder="1"/>
    <xf numFmtId="0" fontId="8" fillId="0" borderId="9" xfId="0" applyFont="1" applyBorder="1" applyAlignment="1">
      <alignment horizontal="right"/>
    </xf>
    <xf numFmtId="4" fontId="4" fillId="0" borderId="0" xfId="0" applyNumberFormat="1" applyFont="1" applyBorder="1"/>
    <xf numFmtId="4" fontId="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8" fillId="3" borderId="9" xfId="0" applyFont="1" applyFill="1" applyBorder="1"/>
    <xf numFmtId="0" fontId="9" fillId="0" borderId="9" xfId="0" applyFont="1" applyBorder="1"/>
    <xf numFmtId="4" fontId="4" fillId="0" borderId="3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4" fontId="0" fillId="0" borderId="10" xfId="0" applyNumberFormat="1" applyBorder="1"/>
    <xf numFmtId="0" fontId="4" fillId="5" borderId="11" xfId="0" applyFont="1" applyFill="1" applyBorder="1" applyAlignment="1">
      <alignment horizontal="center"/>
    </xf>
    <xf numFmtId="4" fontId="4" fillId="5" borderId="11" xfId="0" applyNumberFormat="1" applyFont="1" applyFill="1" applyBorder="1"/>
    <xf numFmtId="4" fontId="4" fillId="0" borderId="1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 readingOrder="1"/>
    </xf>
    <xf numFmtId="0" fontId="0" fillId="0" borderId="1" xfId="0" applyBorder="1" applyAlignment="1">
      <alignment horizontal="center" readingOrder="1"/>
    </xf>
    <xf numFmtId="0" fontId="0" fillId="0" borderId="1" xfId="0" applyFill="1" applyBorder="1" applyAlignment="1">
      <alignment horizontal="center" readingOrder="1"/>
    </xf>
    <xf numFmtId="0" fontId="0" fillId="0" borderId="14" xfId="0" applyBorder="1" applyAlignment="1">
      <alignment horizontal="center" readingOrder="1"/>
    </xf>
    <xf numFmtId="164" fontId="3" fillId="0" borderId="1" xfId="0" applyNumberFormat="1" applyFont="1" applyFill="1" applyBorder="1" applyAlignment="1">
      <alignment horizontal="center" readingOrder="1"/>
    </xf>
    <xf numFmtId="14" fontId="0" fillId="0" borderId="1" xfId="0" applyNumberFormat="1" applyFont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 readingOrder="1"/>
    </xf>
    <xf numFmtId="0" fontId="3" fillId="0" borderId="1" xfId="0" applyFont="1" applyFill="1" applyBorder="1" applyAlignment="1">
      <alignment horizontal="center" readingOrder="1"/>
    </xf>
    <xf numFmtId="0" fontId="0" fillId="3" borderId="1" xfId="0" applyFill="1" applyBorder="1" applyAlignment="1">
      <alignment horizontal="center" readingOrder="1"/>
    </xf>
    <xf numFmtId="164" fontId="3" fillId="0" borderId="14" xfId="0" applyNumberFormat="1" applyFont="1" applyFill="1" applyBorder="1" applyAlignment="1">
      <alignment horizontal="center" readingOrder="1"/>
    </xf>
    <xf numFmtId="10" fontId="0" fillId="0" borderId="1" xfId="0" applyNumberFormat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10" fontId="3" fillId="0" borderId="14" xfId="0" applyNumberFormat="1" applyFont="1" applyFill="1" applyBorder="1" applyAlignment="1">
      <alignment horizontal="center"/>
    </xf>
    <xf numFmtId="10" fontId="3" fillId="3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4" fontId="13" fillId="3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13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0" fillId="0" borderId="0" xfId="0" applyFill="1" applyBorder="1" applyAlignment="1">
      <alignment horizontal="right" vertical="center"/>
    </xf>
    <xf numFmtId="14" fontId="0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Border="1" applyAlignment="1">
      <alignment horizontal="right" vertical="center"/>
    </xf>
    <xf numFmtId="14" fontId="0" fillId="0" borderId="6" xfId="0" applyNumberFormat="1" applyFont="1" applyBorder="1" applyAlignment="1">
      <alignment horizontal="right" vertical="center"/>
    </xf>
    <xf numFmtId="14" fontId="3" fillId="0" borderId="0" xfId="0" applyNumberFormat="1" applyFont="1" applyFill="1" applyBorder="1" applyAlignment="1">
      <alignment horizontal="right"/>
    </xf>
    <xf numFmtId="14" fontId="0" fillId="3" borderId="0" xfId="0" applyNumberFormat="1" applyFont="1" applyFill="1" applyBorder="1" applyAlignment="1">
      <alignment horizontal="right" vertical="center"/>
    </xf>
    <xf numFmtId="14" fontId="0" fillId="0" borderId="0" xfId="0" applyNumberFormat="1" applyBorder="1" applyAlignment="1">
      <alignment horizontal="right"/>
    </xf>
    <xf numFmtId="14" fontId="0" fillId="0" borderId="6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/>
    </xf>
    <xf numFmtId="14" fontId="10" fillId="3" borderId="0" xfId="0" applyNumberFormat="1" applyFont="1" applyFill="1" applyBorder="1" applyAlignment="1">
      <alignment horizontal="right" vertical="center"/>
    </xf>
    <xf numFmtId="14" fontId="10" fillId="3" borderId="0" xfId="0" applyNumberFormat="1" applyFont="1" applyFill="1" applyBorder="1" applyAlignment="1">
      <alignment horizontal="right"/>
    </xf>
    <xf numFmtId="14" fontId="0" fillId="3" borderId="0" xfId="0" applyNumberForma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3" xfId="0" applyBorder="1"/>
    <xf numFmtId="0" fontId="0" fillId="0" borderId="1" xfId="0" applyBorder="1"/>
    <xf numFmtId="4" fontId="0" fillId="0" borderId="1" xfId="0" applyNumberFormat="1" applyBorder="1"/>
    <xf numFmtId="4" fontId="0" fillId="0" borderId="14" xfId="0" applyNumberFormat="1" applyBorder="1"/>
    <xf numFmtId="4" fontId="0" fillId="3" borderId="1" xfId="0" applyNumberFormat="1" applyFill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0" fillId="3" borderId="3" xfId="0" applyNumberFormat="1" applyFill="1" applyBorder="1"/>
    <xf numFmtId="0" fontId="4" fillId="5" borderId="15" xfId="0" applyFont="1" applyFill="1" applyBorder="1" applyAlignment="1">
      <alignment horizontal="right"/>
    </xf>
    <xf numFmtId="0" fontId="4" fillId="5" borderId="15" xfId="0" applyFont="1" applyFill="1" applyBorder="1" applyAlignment="1">
      <alignment horizontal="center" readingOrder="1"/>
    </xf>
    <xf numFmtId="10" fontId="4" fillId="5" borderId="15" xfId="0" applyNumberFormat="1" applyFont="1" applyFill="1" applyBorder="1" applyAlignment="1">
      <alignment horizontal="center"/>
    </xf>
    <xf numFmtId="4" fontId="4" fillId="5" borderId="12" xfId="0" applyNumberFormat="1" applyFont="1" applyFill="1" applyBorder="1"/>
    <xf numFmtId="0" fontId="14" fillId="0" borderId="9" xfId="0" applyFont="1" applyFill="1" applyBorder="1"/>
    <xf numFmtId="14" fontId="0" fillId="0" borderId="6" xfId="0" applyNumberForma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0" fontId="5" fillId="2" borderId="18" xfId="0" applyNumberFormat="1" applyFont="1" applyFill="1" applyBorder="1" applyAlignment="1">
      <alignment horizontal="center" vertical="center" wrapText="1" readingOrder="1"/>
    </xf>
    <xf numFmtId="0" fontId="5" fillId="2" borderId="19" xfId="0" applyNumberFormat="1" applyFont="1" applyFill="1" applyBorder="1" applyAlignment="1">
      <alignment horizontal="center" vertical="center" wrapText="1" readingOrder="1"/>
    </xf>
    <xf numFmtId="0" fontId="5" fillId="2" borderId="13" xfId="0" applyNumberFormat="1" applyFont="1" applyFill="1" applyBorder="1" applyAlignment="1">
      <alignment horizontal="center" vertical="center" wrapText="1" readingOrder="1"/>
    </xf>
    <xf numFmtId="0" fontId="6" fillId="2" borderId="19" xfId="0" applyNumberFormat="1" applyFont="1" applyFill="1" applyBorder="1" applyAlignment="1">
      <alignment horizontal="center" vertical="center" wrapText="1" readingOrder="1"/>
    </xf>
    <xf numFmtId="10" fontId="5" fillId="2" borderId="19" xfId="0" applyNumberFormat="1" applyFont="1" applyFill="1" applyBorder="1" applyAlignment="1">
      <alignment horizontal="center" vertical="center" wrapText="1" readingOrder="1"/>
    </xf>
    <xf numFmtId="0" fontId="5" fillId="2" borderId="20" xfId="0" applyNumberFormat="1" applyFont="1" applyFill="1" applyBorder="1" applyAlignment="1">
      <alignment horizontal="center" vertical="center" wrapText="1" readingOrder="1"/>
    </xf>
    <xf numFmtId="0" fontId="13" fillId="0" borderId="18" xfId="0" applyFont="1" applyBorder="1"/>
    <xf numFmtId="0" fontId="4" fillId="0" borderId="19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readingOrder="1"/>
    </xf>
    <xf numFmtId="0" fontId="0" fillId="0" borderId="17" xfId="0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21" xfId="0" applyBorder="1"/>
    <xf numFmtId="4" fontId="4" fillId="0" borderId="5" xfId="0" applyNumberFormat="1" applyFont="1" applyBorder="1"/>
    <xf numFmtId="0" fontId="9" fillId="0" borderId="22" xfId="0" applyFont="1" applyBorder="1"/>
    <xf numFmtId="0" fontId="9" fillId="0" borderId="4" xfId="0" applyFont="1" applyBorder="1"/>
    <xf numFmtId="0" fontId="8" fillId="5" borderId="23" xfId="0" applyFont="1" applyFill="1" applyBorder="1" applyAlignment="1">
      <alignment horizontal="right"/>
    </xf>
    <xf numFmtId="4" fontId="4" fillId="5" borderId="15" xfId="0" applyNumberFormat="1" applyFont="1" applyFill="1" applyBorder="1" applyAlignment="1">
      <alignment horizontal="right"/>
    </xf>
    <xf numFmtId="0" fontId="14" fillId="0" borderId="9" xfId="0" applyFont="1" applyBorder="1"/>
    <xf numFmtId="0" fontId="0" fillId="0" borderId="24" xfId="0" applyBorder="1"/>
    <xf numFmtId="4" fontId="0" fillId="0" borderId="25" xfId="0" applyNumberFormat="1" applyBorder="1"/>
    <xf numFmtId="4" fontId="0" fillId="0" borderId="26" xfId="0" applyNumberFormat="1" applyBorder="1"/>
    <xf numFmtId="4" fontId="4" fillId="0" borderId="25" xfId="0" applyNumberFormat="1" applyFont="1" applyBorder="1"/>
    <xf numFmtId="4" fontId="0" fillId="3" borderId="25" xfId="0" applyNumberFormat="1" applyFill="1" applyBorder="1"/>
    <xf numFmtId="0" fontId="0" fillId="0" borderId="7" xfId="0" applyBorder="1" applyAlignment="1">
      <alignment horizontal="center"/>
    </xf>
    <xf numFmtId="0" fontId="0" fillId="4" borderId="7" xfId="0" applyFill="1" applyBorder="1"/>
    <xf numFmtId="0" fontId="0" fillId="6" borderId="7" xfId="0" applyFill="1" applyBorder="1" applyAlignment="1">
      <alignment horizontal="center"/>
    </xf>
    <xf numFmtId="0" fontId="0" fillId="6" borderId="7" xfId="0" applyFill="1" applyBorder="1"/>
    <xf numFmtId="4" fontId="11" fillId="6" borderId="7" xfId="1" applyNumberFormat="1" applyFont="1" applyFill="1" applyBorder="1"/>
    <xf numFmtId="4" fontId="0" fillId="6" borderId="7" xfId="0" applyNumberFormat="1" applyFill="1" applyBorder="1"/>
    <xf numFmtId="3" fontId="0" fillId="6" borderId="7" xfId="0" applyNumberFormat="1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3" borderId="7" xfId="0" applyFill="1" applyBorder="1"/>
    <xf numFmtId="0" fontId="0" fillId="0" borderId="7" xfId="0" applyBorder="1" applyAlignment="1">
      <alignment horizontal="left"/>
    </xf>
    <xf numFmtId="4" fontId="0" fillId="6" borderId="7" xfId="0" applyNumberFormat="1" applyFill="1" applyBorder="1" applyAlignment="1">
      <alignment horizontal="right"/>
    </xf>
    <xf numFmtId="0" fontId="0" fillId="3" borderId="7" xfId="0" applyFill="1" applyBorder="1" applyAlignment="1">
      <alignment horizontal="left"/>
    </xf>
    <xf numFmtId="0" fontId="4" fillId="0" borderId="7" xfId="0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Border="1"/>
    <xf numFmtId="10" fontId="0" fillId="0" borderId="0" xfId="0" applyNumberFormat="1" applyFill="1" applyBorder="1"/>
    <xf numFmtId="0" fontId="0" fillId="0" borderId="18" xfId="0" applyBorder="1"/>
    <xf numFmtId="10" fontId="0" fillId="0" borderId="17" xfId="0" applyNumberFormat="1" applyBorder="1"/>
    <xf numFmtId="10" fontId="0" fillId="0" borderId="0" xfId="0" applyNumberFormat="1" applyBorder="1" applyAlignment="1">
      <alignment horizontal="center"/>
    </xf>
    <xf numFmtId="0" fontId="0" fillId="0" borderId="30" xfId="0" applyBorder="1"/>
    <xf numFmtId="0" fontId="0" fillId="0" borderId="30" xfId="0" applyBorder="1" applyAlignment="1">
      <alignment horizontal="right"/>
    </xf>
    <xf numFmtId="0" fontId="0" fillId="0" borderId="28" xfId="0" applyBorder="1"/>
    <xf numFmtId="0" fontId="0" fillId="0" borderId="31" xfId="0" applyBorder="1"/>
    <xf numFmtId="10" fontId="0" fillId="0" borderId="31" xfId="0" applyNumberFormat="1" applyBorder="1"/>
    <xf numFmtId="14" fontId="0" fillId="0" borderId="17" xfId="0" applyNumberFormat="1" applyBorder="1"/>
    <xf numFmtId="10" fontId="0" fillId="4" borderId="6" xfId="0" applyNumberFormat="1" applyFill="1" applyBorder="1"/>
    <xf numFmtId="0" fontId="0" fillId="0" borderId="32" xfId="0" applyBorder="1"/>
    <xf numFmtId="14" fontId="0" fillId="0" borderId="33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10" fontId="0" fillId="0" borderId="33" xfId="0" applyNumberFormat="1" applyBorder="1" applyAlignment="1">
      <alignment horizontal="center"/>
    </xf>
    <xf numFmtId="0" fontId="0" fillId="0" borderId="33" xfId="0" applyBorder="1"/>
    <xf numFmtId="10" fontId="0" fillId="3" borderId="6" xfId="0" applyNumberFormat="1" applyFill="1" applyBorder="1"/>
    <xf numFmtId="14" fontId="0" fillId="0" borderId="33" xfId="0" applyNumberFormat="1" applyBorder="1"/>
    <xf numFmtId="10" fontId="0" fillId="0" borderId="33" xfId="0" applyNumberFormat="1" applyBorder="1"/>
    <xf numFmtId="0" fontId="0" fillId="0" borderId="14" xfId="0" applyBorder="1"/>
    <xf numFmtId="0" fontId="0" fillId="0" borderId="35" xfId="0" applyBorder="1"/>
    <xf numFmtId="0" fontId="0" fillId="0" borderId="36" xfId="0" applyBorder="1"/>
    <xf numFmtId="0" fontId="0" fillId="0" borderId="20" xfId="0" applyBorder="1"/>
    <xf numFmtId="0" fontId="0" fillId="0" borderId="5" xfId="0" applyBorder="1"/>
    <xf numFmtId="0" fontId="0" fillId="0" borderId="16" xfId="0" applyBorder="1"/>
    <xf numFmtId="0" fontId="0" fillId="0" borderId="37" xfId="0" applyBorder="1"/>
    <xf numFmtId="4" fontId="0" fillId="0" borderId="16" xfId="0" applyNumberFormat="1" applyBorder="1"/>
    <xf numFmtId="0" fontId="0" fillId="0" borderId="38" xfId="0" applyBorder="1"/>
    <xf numFmtId="0" fontId="0" fillId="0" borderId="39" xfId="0" applyBorder="1"/>
    <xf numFmtId="3" fontId="0" fillId="0" borderId="39" xfId="0" applyNumberFormat="1" applyBorder="1"/>
    <xf numFmtId="3" fontId="0" fillId="0" borderId="34" xfId="0" applyNumberFormat="1" applyBorder="1"/>
    <xf numFmtId="3" fontId="0" fillId="0" borderId="40" xfId="0" applyNumberFormat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4" fontId="15" fillId="0" borderId="0" xfId="0" applyNumberFormat="1" applyFont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2"/>
  <sheetViews>
    <sheetView workbookViewId="0">
      <selection activeCell="E13" sqref="E13"/>
    </sheetView>
  </sheetViews>
  <sheetFormatPr baseColWidth="10" defaultRowHeight="15" x14ac:dyDescent="0.25"/>
  <cols>
    <col min="1" max="1" width="42" customWidth="1"/>
    <col min="2" max="2" width="19.7109375" customWidth="1"/>
    <col min="3" max="3" width="14.140625" customWidth="1"/>
  </cols>
  <sheetData>
    <row r="3" spans="1:4" x14ac:dyDescent="0.25">
      <c r="A3" s="12" t="s">
        <v>37</v>
      </c>
      <c r="B3" s="18">
        <v>1111.95</v>
      </c>
      <c r="C3" s="6">
        <v>34366</v>
      </c>
    </row>
    <row r="4" spans="1:4" x14ac:dyDescent="0.25">
      <c r="A4" s="11" t="s">
        <v>38</v>
      </c>
      <c r="B4" s="19">
        <v>894.98</v>
      </c>
      <c r="C4" s="4">
        <v>34486</v>
      </c>
    </row>
    <row r="5" spans="1:4" x14ac:dyDescent="0.25">
      <c r="A5" s="11" t="s">
        <v>39</v>
      </c>
      <c r="B5" s="19">
        <v>944.84</v>
      </c>
      <c r="C5" s="4">
        <v>40817</v>
      </c>
    </row>
    <row r="6" spans="1:4" x14ac:dyDescent="0.25">
      <c r="A6" s="20" t="s">
        <v>107</v>
      </c>
      <c r="B6" s="16">
        <f>SUM(B3:B5)</f>
        <v>2951.77</v>
      </c>
    </row>
    <row r="8" spans="1:4" x14ac:dyDescent="0.25">
      <c r="A8" s="21" t="s">
        <v>40</v>
      </c>
      <c r="B8" s="22">
        <v>503.76</v>
      </c>
      <c r="C8" s="11"/>
    </row>
    <row r="9" spans="1:4" x14ac:dyDescent="0.25">
      <c r="A9" s="21" t="s">
        <v>41</v>
      </c>
      <c r="B9" s="22">
        <v>545.16</v>
      </c>
      <c r="C9" s="11"/>
    </row>
    <row r="10" spans="1:4" x14ac:dyDescent="0.25">
      <c r="A10" s="21" t="s">
        <v>42</v>
      </c>
      <c r="B10" s="22">
        <v>3088.07</v>
      </c>
      <c r="C10" s="11"/>
    </row>
    <row r="11" spans="1:4" x14ac:dyDescent="0.25">
      <c r="A11" s="21" t="s">
        <v>43</v>
      </c>
      <c r="B11" s="22">
        <v>1331.63</v>
      </c>
      <c r="C11" s="23" t="s">
        <v>46</v>
      </c>
      <c r="D11" s="17"/>
    </row>
    <row r="12" spans="1:4" x14ac:dyDescent="0.25">
      <c r="A12" s="21" t="s">
        <v>44</v>
      </c>
      <c r="B12" s="22">
        <v>841.39</v>
      </c>
      <c r="C12" s="24" t="s">
        <v>47</v>
      </c>
      <c r="D12" s="17"/>
    </row>
    <row r="13" spans="1:4" x14ac:dyDescent="0.25">
      <c r="A13" s="21" t="s">
        <v>104</v>
      </c>
      <c r="B13" s="22">
        <v>1036.8800000000001</v>
      </c>
      <c r="C13" s="25">
        <v>10.130000000000001</v>
      </c>
      <c r="D13" s="17"/>
    </row>
    <row r="14" spans="1:4" x14ac:dyDescent="0.25">
      <c r="A14" s="21" t="s">
        <v>45</v>
      </c>
      <c r="B14" s="22"/>
      <c r="C14" s="24" t="s">
        <v>48</v>
      </c>
      <c r="D14" s="17"/>
    </row>
    <row r="15" spans="1:4" x14ac:dyDescent="0.25">
      <c r="A15" s="26" t="s">
        <v>107</v>
      </c>
      <c r="B15" s="27">
        <f>SUM(B8:B14)</f>
        <v>7346.89</v>
      </c>
      <c r="C15" s="24"/>
      <c r="D15" s="17"/>
    </row>
    <row r="16" spans="1:4" x14ac:dyDescent="0.25">
      <c r="A16" s="26"/>
      <c r="B16" s="27"/>
      <c r="C16" s="24"/>
      <c r="D16" s="17"/>
    </row>
    <row r="17" spans="1:4" x14ac:dyDescent="0.25">
      <c r="A17" s="21" t="s">
        <v>49</v>
      </c>
      <c r="B17" s="22">
        <v>3269.4</v>
      </c>
      <c r="C17" s="24" t="s">
        <v>50</v>
      </c>
      <c r="D17" s="17"/>
    </row>
    <row r="18" spans="1:4" x14ac:dyDescent="0.25">
      <c r="A18" s="21" t="s">
        <v>49</v>
      </c>
      <c r="B18" s="22">
        <v>477.32</v>
      </c>
      <c r="C18" s="24" t="s">
        <v>51</v>
      </c>
      <c r="D18" s="17"/>
    </row>
    <row r="19" spans="1:4" x14ac:dyDescent="0.25">
      <c r="A19" s="21" t="s">
        <v>49</v>
      </c>
      <c r="B19" s="22">
        <v>1047.04</v>
      </c>
      <c r="C19" s="24" t="s">
        <v>52</v>
      </c>
      <c r="D19" s="17"/>
    </row>
    <row r="20" spans="1:4" x14ac:dyDescent="0.25">
      <c r="A20" s="21" t="s">
        <v>53</v>
      </c>
      <c r="B20" s="22">
        <v>746.86</v>
      </c>
      <c r="C20" s="24" t="s">
        <v>54</v>
      </c>
      <c r="D20" s="17"/>
    </row>
    <row r="21" spans="1:4" x14ac:dyDescent="0.25">
      <c r="A21" s="21" t="s">
        <v>55</v>
      </c>
      <c r="B21" s="22">
        <v>661.78</v>
      </c>
      <c r="C21" s="24" t="s">
        <v>56</v>
      </c>
      <c r="D21" s="17"/>
    </row>
    <row r="22" spans="1:4" x14ac:dyDescent="0.25">
      <c r="A22" s="21" t="s">
        <v>57</v>
      </c>
      <c r="B22" s="22">
        <v>904.37</v>
      </c>
      <c r="C22" s="24" t="s">
        <v>58</v>
      </c>
      <c r="D22" s="17"/>
    </row>
    <row r="23" spans="1:4" x14ac:dyDescent="0.25">
      <c r="A23" s="21" t="s">
        <v>59</v>
      </c>
      <c r="B23" s="22">
        <v>1035.46</v>
      </c>
      <c r="C23" s="24" t="s">
        <v>60</v>
      </c>
      <c r="D23" s="17"/>
    </row>
    <row r="24" spans="1:4" x14ac:dyDescent="0.25">
      <c r="A24" s="21" t="s">
        <v>61</v>
      </c>
      <c r="B24" s="22">
        <v>1614.44</v>
      </c>
      <c r="C24" s="24" t="s">
        <v>62</v>
      </c>
      <c r="D24" s="17"/>
    </row>
    <row r="25" spans="1:4" x14ac:dyDescent="0.25">
      <c r="A25" s="21" t="s">
        <v>63</v>
      </c>
      <c r="B25" s="22">
        <v>4023.08</v>
      </c>
      <c r="C25" s="24" t="s">
        <v>64</v>
      </c>
      <c r="D25" s="17"/>
    </row>
    <row r="26" spans="1:4" x14ac:dyDescent="0.25">
      <c r="A26" s="21" t="s">
        <v>61</v>
      </c>
      <c r="B26" s="22">
        <v>546.04</v>
      </c>
      <c r="C26" s="24" t="s">
        <v>64</v>
      </c>
      <c r="D26" s="17"/>
    </row>
    <row r="27" spans="1:4" x14ac:dyDescent="0.25">
      <c r="A27" s="21" t="s">
        <v>57</v>
      </c>
      <c r="B27" s="22">
        <v>260.33999999999997</v>
      </c>
      <c r="C27" s="24" t="s">
        <v>64</v>
      </c>
      <c r="D27" s="17"/>
    </row>
    <row r="28" spans="1:4" x14ac:dyDescent="0.25">
      <c r="A28" s="21" t="s">
        <v>65</v>
      </c>
      <c r="B28" s="22">
        <v>168.23</v>
      </c>
      <c r="C28" s="24" t="s">
        <v>66</v>
      </c>
      <c r="D28" s="17"/>
    </row>
    <row r="29" spans="1:4" x14ac:dyDescent="0.25">
      <c r="A29" s="21" t="s">
        <v>65</v>
      </c>
      <c r="B29" s="22">
        <v>528.75</v>
      </c>
      <c r="C29" s="24" t="s">
        <v>67</v>
      </c>
      <c r="D29" s="17"/>
    </row>
    <row r="30" spans="1:4" x14ac:dyDescent="0.25">
      <c r="A30" s="21" t="s">
        <v>68</v>
      </c>
      <c r="B30" s="22">
        <v>410.09</v>
      </c>
      <c r="C30" s="24" t="s">
        <v>69</v>
      </c>
      <c r="D30" s="17"/>
    </row>
    <row r="31" spans="1:4" x14ac:dyDescent="0.25">
      <c r="A31" s="21" t="s">
        <v>70</v>
      </c>
      <c r="B31" s="21">
        <v>17260.78</v>
      </c>
      <c r="C31" s="28" t="s">
        <v>71</v>
      </c>
      <c r="D31" s="17"/>
    </row>
    <row r="32" spans="1:4" x14ac:dyDescent="0.25">
      <c r="A32" s="21" t="s">
        <v>70</v>
      </c>
      <c r="B32" s="21">
        <v>455.51</v>
      </c>
      <c r="C32" s="28" t="s">
        <v>71</v>
      </c>
      <c r="D32" s="17"/>
    </row>
    <row r="33" spans="1:4" x14ac:dyDescent="0.25">
      <c r="A33" s="21" t="s">
        <v>70</v>
      </c>
      <c r="B33" s="21">
        <v>466.44</v>
      </c>
      <c r="C33" s="28" t="s">
        <v>72</v>
      </c>
      <c r="D33" s="17"/>
    </row>
    <row r="34" spans="1:4" x14ac:dyDescent="0.25">
      <c r="A34" s="21" t="s">
        <v>70</v>
      </c>
      <c r="B34" s="21">
        <v>1967.42</v>
      </c>
      <c r="C34" s="28" t="s">
        <v>73</v>
      </c>
      <c r="D34" s="17"/>
    </row>
    <row r="35" spans="1:4" x14ac:dyDescent="0.25">
      <c r="A35" s="21" t="s">
        <v>70</v>
      </c>
      <c r="B35" s="21">
        <v>2984</v>
      </c>
      <c r="C35" s="28" t="s">
        <v>74</v>
      </c>
      <c r="D35" s="17"/>
    </row>
    <row r="36" spans="1:4" x14ac:dyDescent="0.25">
      <c r="A36" s="21" t="s">
        <v>70</v>
      </c>
      <c r="B36" s="21">
        <v>5232.5</v>
      </c>
      <c r="C36" s="28" t="s">
        <v>74</v>
      </c>
      <c r="D36" s="17"/>
    </row>
    <row r="37" spans="1:4" x14ac:dyDescent="0.25">
      <c r="A37" s="21" t="s">
        <v>70</v>
      </c>
      <c r="B37" s="21">
        <v>1789.22</v>
      </c>
      <c r="C37" s="28" t="s">
        <v>75</v>
      </c>
      <c r="D37" s="17"/>
    </row>
    <row r="38" spans="1:4" x14ac:dyDescent="0.25">
      <c r="A38" s="21" t="s">
        <v>76</v>
      </c>
      <c r="B38" s="21">
        <v>1637.32</v>
      </c>
      <c r="C38" s="28" t="s">
        <v>77</v>
      </c>
      <c r="D38" s="17"/>
    </row>
    <row r="39" spans="1:4" x14ac:dyDescent="0.25">
      <c r="A39" s="29" t="s">
        <v>70</v>
      </c>
      <c r="B39" s="21">
        <v>2264.0300000000002</v>
      </c>
      <c r="C39" s="28" t="s">
        <v>78</v>
      </c>
      <c r="D39" s="17"/>
    </row>
    <row r="40" spans="1:4" x14ac:dyDescent="0.25">
      <c r="A40" s="21" t="s">
        <v>79</v>
      </c>
      <c r="B40" s="21">
        <v>612.35</v>
      </c>
      <c r="C40" s="28" t="s">
        <v>80</v>
      </c>
      <c r="D40" s="17"/>
    </row>
    <row r="41" spans="1:4" x14ac:dyDescent="0.25">
      <c r="A41" s="21" t="s">
        <v>70</v>
      </c>
      <c r="B41" s="22">
        <v>227.24</v>
      </c>
      <c r="C41" s="28" t="s">
        <v>80</v>
      </c>
      <c r="D41" s="17"/>
    </row>
    <row r="42" spans="1:4" x14ac:dyDescent="0.25">
      <c r="A42" s="21" t="s">
        <v>105</v>
      </c>
      <c r="B42" s="22">
        <v>751.09</v>
      </c>
      <c r="C42" s="28" t="s">
        <v>106</v>
      </c>
      <c r="D42" s="17"/>
    </row>
    <row r="43" spans="1:4" x14ac:dyDescent="0.25">
      <c r="A43" s="21" t="s">
        <v>81</v>
      </c>
      <c r="B43" s="22">
        <v>1693.54</v>
      </c>
      <c r="C43" s="28" t="s">
        <v>82</v>
      </c>
      <c r="D43" s="17"/>
    </row>
    <row r="44" spans="1:4" x14ac:dyDescent="0.25">
      <c r="A44" s="21" t="s">
        <v>83</v>
      </c>
      <c r="B44" s="22">
        <v>1954.26</v>
      </c>
      <c r="C44" s="28" t="s">
        <v>82</v>
      </c>
      <c r="D44" s="17"/>
    </row>
    <row r="45" spans="1:4" x14ac:dyDescent="0.25">
      <c r="A45" s="21" t="s">
        <v>83</v>
      </c>
      <c r="B45" s="21">
        <v>1029.56</v>
      </c>
      <c r="C45" s="28" t="s">
        <v>84</v>
      </c>
      <c r="D45" s="17"/>
    </row>
    <row r="46" spans="1:4" x14ac:dyDescent="0.25">
      <c r="A46" s="29" t="s">
        <v>83</v>
      </c>
      <c r="B46" s="21">
        <v>4113.8599999999997</v>
      </c>
      <c r="C46" s="28" t="s">
        <v>85</v>
      </c>
      <c r="D46" s="17"/>
    </row>
    <row r="47" spans="1:4" x14ac:dyDescent="0.25">
      <c r="A47" s="29" t="s">
        <v>86</v>
      </c>
      <c r="B47" s="30">
        <v>1058.46</v>
      </c>
      <c r="C47" s="28" t="s">
        <v>87</v>
      </c>
      <c r="D47" s="17"/>
    </row>
    <row r="48" spans="1:4" x14ac:dyDescent="0.25">
      <c r="A48" s="29" t="s">
        <v>83</v>
      </c>
      <c r="B48" s="30">
        <v>3898.58</v>
      </c>
      <c r="C48" s="28" t="s">
        <v>88</v>
      </c>
      <c r="D48" s="17"/>
    </row>
    <row r="49" spans="1:4" x14ac:dyDescent="0.25">
      <c r="A49" s="29" t="s">
        <v>83</v>
      </c>
      <c r="B49" s="30">
        <v>657.8</v>
      </c>
      <c r="C49" s="28" t="s">
        <v>89</v>
      </c>
      <c r="D49" s="17"/>
    </row>
    <row r="50" spans="1:4" x14ac:dyDescent="0.25">
      <c r="A50" s="29" t="s">
        <v>70</v>
      </c>
      <c r="B50" s="30">
        <v>1315.6</v>
      </c>
      <c r="C50" s="28" t="s">
        <v>89</v>
      </c>
      <c r="D50" s="17"/>
    </row>
    <row r="51" spans="1:4" x14ac:dyDescent="0.25">
      <c r="A51" s="29" t="s">
        <v>70</v>
      </c>
      <c r="B51" s="30">
        <v>448.5</v>
      </c>
      <c r="C51" s="28" t="s">
        <v>90</v>
      </c>
      <c r="D51" s="17"/>
    </row>
    <row r="52" spans="1:4" x14ac:dyDescent="0.25">
      <c r="A52" s="29" t="s">
        <v>83</v>
      </c>
      <c r="B52" s="30">
        <v>1284.5</v>
      </c>
      <c r="C52" s="28" t="s">
        <v>91</v>
      </c>
      <c r="D52" s="17"/>
    </row>
    <row r="53" spans="1:4" x14ac:dyDescent="0.25">
      <c r="A53" s="29" t="s">
        <v>83</v>
      </c>
      <c r="B53" s="30">
        <v>615.94000000000005</v>
      </c>
      <c r="C53" s="28" t="s">
        <v>47</v>
      </c>
      <c r="D53" s="17"/>
    </row>
    <row r="54" spans="1:4" x14ac:dyDescent="0.25">
      <c r="A54" s="21" t="s">
        <v>92</v>
      </c>
      <c r="B54" s="22">
        <v>526.24</v>
      </c>
      <c r="C54" s="31" t="s">
        <v>93</v>
      </c>
    </row>
    <row r="55" spans="1:4" x14ac:dyDescent="0.25">
      <c r="A55" s="21" t="s">
        <v>94</v>
      </c>
      <c r="B55" s="22">
        <v>2199.44</v>
      </c>
      <c r="C55" s="31" t="s">
        <v>95</v>
      </c>
    </row>
    <row r="56" spans="1:4" x14ac:dyDescent="0.25">
      <c r="A56" s="21" t="s">
        <v>96</v>
      </c>
      <c r="B56" s="22">
        <v>2791.08</v>
      </c>
      <c r="C56" s="31" t="s">
        <v>97</v>
      </c>
    </row>
    <row r="57" spans="1:4" x14ac:dyDescent="0.25">
      <c r="A57" s="21" t="s">
        <v>98</v>
      </c>
      <c r="B57" s="22">
        <v>785.77</v>
      </c>
      <c r="C57" s="31" t="s">
        <v>99</v>
      </c>
    </row>
    <row r="58" spans="1:4" x14ac:dyDescent="0.25">
      <c r="A58" s="21" t="s">
        <v>70</v>
      </c>
      <c r="B58" s="22">
        <v>586.04</v>
      </c>
      <c r="C58" s="31" t="s">
        <v>100</v>
      </c>
    </row>
    <row r="59" spans="1:4" x14ac:dyDescent="0.25">
      <c r="A59" s="21" t="s">
        <v>70</v>
      </c>
      <c r="B59" s="22">
        <v>779.6</v>
      </c>
      <c r="C59" s="31" t="s">
        <v>101</v>
      </c>
    </row>
    <row r="60" spans="1:4" x14ac:dyDescent="0.25">
      <c r="A60" s="21" t="s">
        <v>102</v>
      </c>
      <c r="B60" s="22">
        <v>9638.58</v>
      </c>
      <c r="C60" s="31" t="s">
        <v>103</v>
      </c>
    </row>
    <row r="61" spans="1:4" x14ac:dyDescent="0.25">
      <c r="A61" s="11"/>
      <c r="B61" s="32"/>
      <c r="C61" s="11"/>
      <c r="D61" s="9"/>
    </row>
    <row r="62" spans="1:4" x14ac:dyDescent="0.25">
      <c r="A62" s="26" t="s">
        <v>107</v>
      </c>
      <c r="B62" s="32">
        <f>SUM(B17:B61)</f>
        <v>86718.450000000012</v>
      </c>
      <c r="C62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2"/>
  <sheetViews>
    <sheetView tabSelected="1" zoomScale="80" zoomScaleNormal="80" workbookViewId="0">
      <pane xSplit="1" topLeftCell="B1" activePane="topRight" state="frozen"/>
      <selection pane="topRight" activeCell="F74" sqref="F74"/>
    </sheetView>
  </sheetViews>
  <sheetFormatPr baseColWidth="10" defaultRowHeight="15" x14ac:dyDescent="0.25"/>
  <cols>
    <col min="1" max="1" width="47.28515625" customWidth="1"/>
    <col min="2" max="2" width="13" style="5" customWidth="1"/>
    <col min="3" max="3" width="13.42578125" customWidth="1"/>
    <col min="4" max="4" width="13.42578125" style="2" customWidth="1"/>
    <col min="5" max="5" width="3.5703125" style="14" customWidth="1"/>
    <col min="6" max="6" width="6.42578125" style="2" customWidth="1"/>
    <col min="7" max="7" width="8.7109375" style="7" customWidth="1"/>
    <col min="8" max="10" width="11.42578125" customWidth="1"/>
    <col min="12" max="20" width="11.42578125" style="2" customWidth="1"/>
    <col min="21" max="21" width="10.7109375" style="2" customWidth="1"/>
    <col min="22" max="22" width="11.42578125" style="2"/>
    <col min="23" max="23" width="11.42578125" style="2" customWidth="1"/>
    <col min="24" max="24" width="11.28515625" style="2" customWidth="1"/>
    <col min="25" max="26" width="11.42578125" style="2" customWidth="1"/>
    <col min="27" max="34" width="11.42578125" customWidth="1"/>
  </cols>
  <sheetData>
    <row r="1" spans="1:36" ht="36" customHeight="1" x14ac:dyDescent="0.25">
      <c r="A1" s="137" t="s">
        <v>5</v>
      </c>
      <c r="B1" s="138" t="s">
        <v>0</v>
      </c>
      <c r="C1" s="139" t="s">
        <v>141</v>
      </c>
      <c r="D1" s="140" t="s">
        <v>1</v>
      </c>
      <c r="E1" s="138" t="s">
        <v>2</v>
      </c>
      <c r="F1" s="138" t="s">
        <v>3</v>
      </c>
      <c r="G1" s="141" t="s">
        <v>4</v>
      </c>
      <c r="H1" s="138" t="s">
        <v>110</v>
      </c>
      <c r="I1" s="138" t="s">
        <v>111</v>
      </c>
      <c r="J1" s="138" t="s">
        <v>133</v>
      </c>
      <c r="K1" s="138" t="s">
        <v>138</v>
      </c>
      <c r="L1" s="138">
        <v>2008</v>
      </c>
      <c r="M1" s="138">
        <f t="shared" ref="M1:Z1" si="0">L1+1</f>
        <v>2009</v>
      </c>
      <c r="N1" s="138">
        <f t="shared" si="0"/>
        <v>2010</v>
      </c>
      <c r="O1" s="138">
        <f t="shared" si="0"/>
        <v>2011</v>
      </c>
      <c r="P1" s="138">
        <f t="shared" si="0"/>
        <v>2012</v>
      </c>
      <c r="Q1" s="138">
        <f t="shared" si="0"/>
        <v>2013</v>
      </c>
      <c r="R1" s="138">
        <f t="shared" si="0"/>
        <v>2014</v>
      </c>
      <c r="S1" s="138">
        <f t="shared" si="0"/>
        <v>2015</v>
      </c>
      <c r="T1" s="138">
        <f t="shared" si="0"/>
        <v>2016</v>
      </c>
      <c r="U1" s="138" t="s">
        <v>136</v>
      </c>
      <c r="V1" s="138">
        <f>T1+1</f>
        <v>2017</v>
      </c>
      <c r="W1" s="138">
        <f t="shared" si="0"/>
        <v>2018</v>
      </c>
      <c r="X1" s="138">
        <f t="shared" si="0"/>
        <v>2019</v>
      </c>
      <c r="Y1" s="138">
        <f t="shared" si="0"/>
        <v>2020</v>
      </c>
      <c r="Z1" s="138">
        <f t="shared" si="0"/>
        <v>2021</v>
      </c>
      <c r="AA1" s="138">
        <f t="shared" ref="AA1:AE1" si="1">Z1+1</f>
        <v>2022</v>
      </c>
      <c r="AB1" s="138">
        <f t="shared" si="1"/>
        <v>2023</v>
      </c>
      <c r="AC1" s="138">
        <f t="shared" si="1"/>
        <v>2024</v>
      </c>
      <c r="AD1" s="138">
        <f t="shared" si="1"/>
        <v>2025</v>
      </c>
      <c r="AE1" s="138">
        <f t="shared" si="1"/>
        <v>2026</v>
      </c>
      <c r="AF1" s="138">
        <f t="shared" ref="AF1" si="2">AE1+1</f>
        <v>2027</v>
      </c>
      <c r="AG1" s="138">
        <f t="shared" ref="AG1" si="3">AF1+1</f>
        <v>2028</v>
      </c>
      <c r="AH1" s="138" t="s">
        <v>137</v>
      </c>
      <c r="AI1" s="138" t="s">
        <v>134</v>
      </c>
      <c r="AJ1" s="142" t="s">
        <v>135</v>
      </c>
    </row>
    <row r="2" spans="1:36" ht="15" hidden="1" customHeight="1" x14ac:dyDescent="0.25">
      <c r="A2" s="143" t="s">
        <v>139</v>
      </c>
      <c r="B2" s="144"/>
      <c r="C2" s="144"/>
      <c r="D2" s="144"/>
      <c r="E2" s="145"/>
      <c r="F2" s="146">
        <v>360</v>
      </c>
      <c r="G2" s="147"/>
      <c r="H2" s="148"/>
      <c r="I2" s="149"/>
      <c r="J2" s="148"/>
      <c r="K2" s="149"/>
      <c r="L2" s="148"/>
      <c r="M2" s="149"/>
      <c r="N2" s="148"/>
      <c r="O2" s="149"/>
      <c r="P2" s="148"/>
      <c r="Q2" s="149"/>
      <c r="R2" s="148"/>
      <c r="S2" s="149"/>
      <c r="T2" s="148"/>
      <c r="U2" s="149"/>
      <c r="V2" s="148"/>
      <c r="W2" s="149"/>
      <c r="X2" s="148"/>
      <c r="Y2" s="149"/>
      <c r="Z2" s="148"/>
      <c r="AA2" s="157"/>
      <c r="AB2" s="122"/>
      <c r="AC2" s="149"/>
      <c r="AD2" s="148"/>
      <c r="AE2" s="149"/>
      <c r="AF2" s="148"/>
      <c r="AG2" s="149"/>
      <c r="AH2" s="149"/>
      <c r="AI2" s="149"/>
      <c r="AJ2" s="150"/>
    </row>
    <row r="3" spans="1:36" ht="15" hidden="1" customHeight="1" x14ac:dyDescent="0.25">
      <c r="A3" s="54" t="s">
        <v>36</v>
      </c>
      <c r="B3" s="94">
        <f>'repise immo'!B6</f>
        <v>2951.77</v>
      </c>
      <c r="C3" s="94">
        <f>B3</f>
        <v>2951.77</v>
      </c>
      <c r="D3" s="107"/>
      <c r="E3" s="78"/>
      <c r="F3" s="51"/>
      <c r="G3" s="87"/>
      <c r="H3" s="52"/>
      <c r="I3" s="123"/>
      <c r="J3" s="55">
        <f>B3</f>
        <v>2951.77</v>
      </c>
      <c r="K3" s="124">
        <f>J3</f>
        <v>2951.77</v>
      </c>
      <c r="L3" s="55"/>
      <c r="M3" s="124"/>
      <c r="N3" s="55"/>
      <c r="O3" s="124"/>
      <c r="P3" s="55"/>
      <c r="Q3" s="124"/>
      <c r="R3" s="55"/>
      <c r="S3" s="124"/>
      <c r="T3" s="55"/>
      <c r="U3" s="124"/>
      <c r="V3" s="55"/>
      <c r="W3" s="124"/>
      <c r="X3" s="55"/>
      <c r="Y3" s="124"/>
      <c r="Z3" s="55"/>
      <c r="AA3" s="158"/>
      <c r="AB3" s="124"/>
      <c r="AC3" s="124"/>
      <c r="AD3" s="55"/>
      <c r="AE3" s="124"/>
      <c r="AF3" s="55"/>
      <c r="AG3" s="124"/>
      <c r="AH3" s="124"/>
      <c r="AI3" s="124">
        <f>B3</f>
        <v>2951.77</v>
      </c>
      <c r="AJ3" s="57"/>
    </row>
    <row r="4" spans="1:36" ht="15" hidden="1" customHeight="1" x14ac:dyDescent="0.25">
      <c r="A4" s="56" t="s">
        <v>32</v>
      </c>
      <c r="B4" s="95">
        <v>1504.8</v>
      </c>
      <c r="C4" s="95">
        <v>1504.8</v>
      </c>
      <c r="D4" s="108">
        <v>41726</v>
      </c>
      <c r="E4" s="79" t="s">
        <v>6</v>
      </c>
      <c r="F4" s="3">
        <v>3</v>
      </c>
      <c r="G4" s="88">
        <v>0.33329999999999999</v>
      </c>
      <c r="H4" s="55">
        <f>IF(YEAR(D4)=2017,B4,0)</f>
        <v>0</v>
      </c>
      <c r="I4" s="124">
        <f>IF(V4="",B4,0)</f>
        <v>0</v>
      </c>
      <c r="J4" s="55">
        <f>B4-I4</f>
        <v>1504.8</v>
      </c>
      <c r="K4" s="124">
        <f>SUM(L4:T4)</f>
        <v>1379.4</v>
      </c>
      <c r="L4" s="55"/>
      <c r="M4" s="124"/>
      <c r="N4" s="55"/>
      <c r="O4" s="124"/>
      <c r="P4" s="55"/>
      <c r="Q4" s="124"/>
      <c r="R4" s="55">
        <v>376.2</v>
      </c>
      <c r="S4" s="124">
        <v>501.6</v>
      </c>
      <c r="T4" s="55">
        <v>501.6</v>
      </c>
      <c r="U4" s="124"/>
      <c r="V4" s="55">
        <v>125.4</v>
      </c>
      <c r="W4" s="124"/>
      <c r="X4" s="55"/>
      <c r="Y4" s="124"/>
      <c r="Z4" s="55"/>
      <c r="AA4" s="158"/>
      <c r="AB4" s="124"/>
      <c r="AC4" s="124"/>
      <c r="AD4" s="55"/>
      <c r="AE4" s="124"/>
      <c r="AF4" s="55"/>
      <c r="AG4" s="124"/>
      <c r="AH4" s="124">
        <f>IF(I4=0,0,K4+V4)</f>
        <v>0</v>
      </c>
      <c r="AI4" s="124">
        <f>IF(J4=0,0,K4+V4)</f>
        <v>1504.8000000000002</v>
      </c>
      <c r="AJ4" s="57">
        <f>B4-K4-V4</f>
        <v>-1.4210854715202004E-13</v>
      </c>
    </row>
    <row r="5" spans="1:36" hidden="1" x14ac:dyDescent="0.25">
      <c r="A5" s="58" t="s">
        <v>34</v>
      </c>
      <c r="B5" s="96">
        <v>978</v>
      </c>
      <c r="C5" s="96">
        <v>978</v>
      </c>
      <c r="D5" s="109">
        <v>42521</v>
      </c>
      <c r="E5" s="78" t="s">
        <v>6</v>
      </c>
      <c r="F5" s="51">
        <v>3</v>
      </c>
      <c r="G5" s="87">
        <v>0.33329999999999999</v>
      </c>
      <c r="H5" s="55">
        <f>IF(YEAR(D5)=2017,B5,0)</f>
        <v>0</v>
      </c>
      <c r="I5" s="124">
        <f>IF(V5="",B5,0)</f>
        <v>0</v>
      </c>
      <c r="J5" s="55">
        <f>B5-I5</f>
        <v>978</v>
      </c>
      <c r="K5" s="124">
        <f>SUM(L5:T5)</f>
        <v>190.2</v>
      </c>
      <c r="L5" s="55"/>
      <c r="M5" s="124"/>
      <c r="N5" s="55"/>
      <c r="O5" s="124"/>
      <c r="P5" s="55"/>
      <c r="Q5" s="124"/>
      <c r="R5" s="55"/>
      <c r="S5" s="124"/>
      <c r="T5" s="55">
        <v>190.2</v>
      </c>
      <c r="U5" s="124">
        <f>(B5/F5/F2*212)-T5</f>
        <v>1.7777777777777999</v>
      </c>
      <c r="V5" s="55">
        <f>(B5/F5)+U5</f>
        <v>327.77777777777783</v>
      </c>
      <c r="W5" s="124">
        <v>326</v>
      </c>
      <c r="X5" s="55">
        <v>133.97</v>
      </c>
      <c r="Y5" s="124"/>
      <c r="Z5" s="55"/>
      <c r="AA5" s="158"/>
      <c r="AB5" s="124"/>
      <c r="AC5" s="124"/>
      <c r="AD5" s="55"/>
      <c r="AE5" s="124"/>
      <c r="AF5" s="55"/>
      <c r="AG5" s="124"/>
      <c r="AH5" s="124">
        <f>IF(I5=0,0,K5+V5)</f>
        <v>0</v>
      </c>
      <c r="AI5" s="124">
        <f>IF(J5=0,0,K5+V5)</f>
        <v>517.97777777777787</v>
      </c>
      <c r="AJ5" s="57">
        <f>B5-K5-V5</f>
        <v>460.02222222222213</v>
      </c>
    </row>
    <row r="6" spans="1:36" hidden="1" x14ac:dyDescent="0.25">
      <c r="A6" s="58"/>
      <c r="B6" s="97"/>
      <c r="C6" s="97"/>
      <c r="D6" s="110"/>
      <c r="E6" s="80"/>
      <c r="F6" s="33"/>
      <c r="G6" s="89"/>
      <c r="H6" s="34"/>
      <c r="I6" s="125">
        <f>IF(V6="",B6,0)</f>
        <v>0</v>
      </c>
      <c r="J6" s="35"/>
      <c r="K6" s="125"/>
      <c r="L6" s="35"/>
      <c r="M6" s="125"/>
      <c r="N6" s="35"/>
      <c r="O6" s="125"/>
      <c r="P6" s="35"/>
      <c r="Q6" s="125"/>
      <c r="R6" s="35"/>
      <c r="S6" s="125"/>
      <c r="T6" s="35"/>
      <c r="U6" s="125"/>
      <c r="V6" s="35"/>
      <c r="W6" s="125"/>
      <c r="X6" s="35"/>
      <c r="Y6" s="125"/>
      <c r="Z6" s="35"/>
      <c r="AA6" s="159"/>
      <c r="AB6" s="125"/>
      <c r="AC6" s="125"/>
      <c r="AD6" s="35"/>
      <c r="AE6" s="125"/>
      <c r="AF6" s="35"/>
      <c r="AG6" s="125"/>
      <c r="AH6" s="125"/>
      <c r="AI6" s="125"/>
      <c r="AJ6" s="73"/>
    </row>
    <row r="7" spans="1:36" hidden="1" x14ac:dyDescent="0.25">
      <c r="A7" s="59" t="s">
        <v>109</v>
      </c>
      <c r="B7" s="96">
        <f>SUM(B3:B6)</f>
        <v>5434.57</v>
      </c>
      <c r="C7" s="96">
        <f>SUM(C3:C6)</f>
        <v>5434.57</v>
      </c>
      <c r="D7" s="109"/>
      <c r="E7" s="78"/>
      <c r="F7" s="51"/>
      <c r="G7" s="87"/>
      <c r="H7" s="55">
        <f>SUM(H4:H5)</f>
        <v>0</v>
      </c>
      <c r="I7" s="124">
        <f>IF(V7="",B7,0)</f>
        <v>0</v>
      </c>
      <c r="J7" s="60">
        <f>SUM(J3:J5)</f>
        <v>5434.57</v>
      </c>
      <c r="K7" s="127">
        <f>SUM(K3:K5)</f>
        <v>4521.37</v>
      </c>
      <c r="L7" s="60"/>
      <c r="M7" s="127"/>
      <c r="N7" s="60"/>
      <c r="O7" s="127"/>
      <c r="P7" s="60"/>
      <c r="Q7" s="127"/>
      <c r="R7" s="60">
        <f t="shared" ref="R7:AG7" si="4">SUM(R4:R5)</f>
        <v>376.2</v>
      </c>
      <c r="S7" s="127">
        <f t="shared" si="4"/>
        <v>501.6</v>
      </c>
      <c r="T7" s="60">
        <f t="shared" si="4"/>
        <v>691.8</v>
      </c>
      <c r="U7" s="60">
        <f t="shared" si="4"/>
        <v>1.7777777777777999</v>
      </c>
      <c r="V7" s="60">
        <f t="shared" si="4"/>
        <v>453.17777777777781</v>
      </c>
      <c r="W7" s="127">
        <f t="shared" si="4"/>
        <v>326</v>
      </c>
      <c r="X7" s="60">
        <f t="shared" si="4"/>
        <v>133.97</v>
      </c>
      <c r="Y7" s="127">
        <f t="shared" si="4"/>
        <v>0</v>
      </c>
      <c r="Z7" s="60">
        <f t="shared" si="4"/>
        <v>0</v>
      </c>
      <c r="AA7" s="160">
        <f t="shared" si="4"/>
        <v>0</v>
      </c>
      <c r="AB7" s="127">
        <f t="shared" si="4"/>
        <v>0</v>
      </c>
      <c r="AC7" s="127">
        <f t="shared" si="4"/>
        <v>0</v>
      </c>
      <c r="AD7" s="60">
        <f t="shared" si="4"/>
        <v>0</v>
      </c>
      <c r="AE7" s="127">
        <f t="shared" si="4"/>
        <v>0</v>
      </c>
      <c r="AF7" s="60">
        <f t="shared" si="4"/>
        <v>0</v>
      </c>
      <c r="AG7" s="127">
        <f t="shared" si="4"/>
        <v>0</v>
      </c>
      <c r="AH7" s="127">
        <f>SUM(AH4:AH5)</f>
        <v>0</v>
      </c>
      <c r="AI7" s="127">
        <f>SUM(AI3:AI6)</f>
        <v>4974.5477777777778</v>
      </c>
      <c r="AJ7" s="128">
        <f>SUM(AJ4:AJ5)</f>
        <v>460.02222222222201</v>
      </c>
    </row>
    <row r="8" spans="1:36" s="15" customFormat="1" hidden="1" x14ac:dyDescent="0.25">
      <c r="A8" s="134" t="s">
        <v>140</v>
      </c>
      <c r="B8" s="98"/>
      <c r="C8" s="98"/>
      <c r="D8" s="108"/>
      <c r="E8" s="79"/>
      <c r="F8" s="3"/>
      <c r="G8" s="90"/>
      <c r="H8" s="62"/>
      <c r="I8" s="124"/>
      <c r="J8" s="55"/>
      <c r="K8" s="124"/>
      <c r="L8" s="55"/>
      <c r="M8" s="124"/>
      <c r="N8" s="55"/>
      <c r="O8" s="124"/>
      <c r="P8" s="55"/>
      <c r="Q8" s="124"/>
      <c r="R8" s="55"/>
      <c r="S8" s="124"/>
      <c r="T8" s="55"/>
      <c r="U8" s="124"/>
      <c r="V8" s="55"/>
      <c r="W8" s="124"/>
      <c r="X8" s="55"/>
      <c r="Y8" s="124"/>
      <c r="Z8" s="55"/>
      <c r="AA8" s="158"/>
      <c r="AB8" s="124"/>
      <c r="AC8" s="124"/>
      <c r="AD8" s="55"/>
      <c r="AE8" s="124"/>
      <c r="AF8" s="55"/>
      <c r="AG8" s="124"/>
      <c r="AH8" s="124"/>
      <c r="AI8" s="124"/>
      <c r="AJ8" s="57"/>
    </row>
    <row r="9" spans="1:36" hidden="1" x14ac:dyDescent="0.25">
      <c r="A9" s="54" t="s">
        <v>36</v>
      </c>
      <c r="B9" s="94">
        <f>'repise immo'!B15</f>
        <v>7346.89</v>
      </c>
      <c r="C9" s="94">
        <f>B9</f>
        <v>7346.89</v>
      </c>
      <c r="D9" s="109"/>
      <c r="E9" s="78"/>
      <c r="F9" s="51"/>
      <c r="G9" s="87"/>
      <c r="H9" s="52"/>
      <c r="I9" s="124"/>
      <c r="J9" s="55">
        <f>B9</f>
        <v>7346.89</v>
      </c>
      <c r="K9" s="124">
        <f>J9</f>
        <v>7346.89</v>
      </c>
      <c r="L9" s="55"/>
      <c r="M9" s="124"/>
      <c r="N9" s="55"/>
      <c r="O9" s="124"/>
      <c r="P9" s="55"/>
      <c r="Q9" s="124"/>
      <c r="R9" s="55"/>
      <c r="S9" s="124"/>
      <c r="T9" s="55">
        <f>4383.9+280.33</f>
        <v>4664.2299999999996</v>
      </c>
      <c r="U9" s="124"/>
      <c r="V9" s="55"/>
      <c r="W9" s="124"/>
      <c r="X9" s="55"/>
      <c r="Y9" s="124"/>
      <c r="Z9" s="55"/>
      <c r="AA9" s="158"/>
      <c r="AB9" s="124"/>
      <c r="AC9" s="124"/>
      <c r="AD9" s="55"/>
      <c r="AE9" s="124"/>
      <c r="AF9" s="55"/>
      <c r="AG9" s="124"/>
      <c r="AH9" s="124"/>
      <c r="AI9" s="124">
        <f>B9</f>
        <v>7346.89</v>
      </c>
      <c r="AJ9" s="57"/>
    </row>
    <row r="10" spans="1:36" hidden="1" x14ac:dyDescent="0.25">
      <c r="A10" s="56" t="s">
        <v>33</v>
      </c>
      <c r="B10" s="99">
        <v>1814.4</v>
      </c>
      <c r="C10" s="99">
        <v>1814.4</v>
      </c>
      <c r="D10" s="109">
        <v>42268</v>
      </c>
      <c r="E10" s="78" t="s">
        <v>6</v>
      </c>
      <c r="F10" s="51">
        <v>10</v>
      </c>
      <c r="G10" s="88">
        <v>0.1</v>
      </c>
      <c r="H10" s="55">
        <f t="shared" ref="H10:H26" si="5">IF(YEAR(D10)=2017,B10,0)</f>
        <v>0</v>
      </c>
      <c r="I10" s="124">
        <f t="shared" ref="I10:I26" si="6">IF(V10="",B10,0)</f>
        <v>0</v>
      </c>
      <c r="J10" s="55">
        <f>B10-I10</f>
        <v>1814.4</v>
      </c>
      <c r="K10" s="124">
        <f>SUM(L10:T10)</f>
        <v>226.8</v>
      </c>
      <c r="L10" s="55"/>
      <c r="M10" s="124"/>
      <c r="N10" s="55"/>
      <c r="O10" s="124"/>
      <c r="P10" s="55"/>
      <c r="Q10" s="124"/>
      <c r="R10" s="55"/>
      <c r="S10" s="124">
        <v>45.36</v>
      </c>
      <c r="T10" s="55">
        <v>181.44</v>
      </c>
      <c r="U10" s="124">
        <f>(B10/F10/$F$2*100)-S10</f>
        <v>5.0399999999999991</v>
      </c>
      <c r="V10" s="55">
        <f>(B10/F10)+U10</f>
        <v>186.48</v>
      </c>
      <c r="W10" s="124">
        <v>181.44</v>
      </c>
      <c r="X10" s="55">
        <v>181.44</v>
      </c>
      <c r="Y10" s="124">
        <v>181.44</v>
      </c>
      <c r="Z10" s="55">
        <v>181.44</v>
      </c>
      <c r="AA10" s="158">
        <v>181.44</v>
      </c>
      <c r="AB10" s="124">
        <v>181.44</v>
      </c>
      <c r="AC10" s="124">
        <v>181.44</v>
      </c>
      <c r="AD10" s="55">
        <v>136.08000000000001</v>
      </c>
      <c r="AE10" s="124"/>
      <c r="AF10" s="55"/>
      <c r="AG10" s="124"/>
      <c r="AH10" s="124">
        <f>IF(I10=0,0,K10+V10)</f>
        <v>0</v>
      </c>
      <c r="AI10" s="124">
        <f>IF(J10=0,0,K10+V10)</f>
        <v>413.28</v>
      </c>
      <c r="AJ10" s="57">
        <f>B10-K10-V10</f>
        <v>1401.1200000000001</v>
      </c>
    </row>
    <row r="11" spans="1:36" hidden="1" x14ac:dyDescent="0.25">
      <c r="A11" s="63" t="s">
        <v>31</v>
      </c>
      <c r="B11" s="99">
        <v>1317.56</v>
      </c>
      <c r="C11" s="99">
        <v>1317.56</v>
      </c>
      <c r="D11" s="108">
        <v>41040</v>
      </c>
      <c r="E11" s="81" t="s">
        <v>6</v>
      </c>
      <c r="F11" s="3">
        <v>10</v>
      </c>
      <c r="G11" s="88">
        <v>0.1</v>
      </c>
      <c r="H11" s="55">
        <f t="shared" si="5"/>
        <v>0</v>
      </c>
      <c r="I11" s="124">
        <f t="shared" si="6"/>
        <v>0</v>
      </c>
      <c r="J11" s="55">
        <f t="shared" ref="J11:J26" si="7">B11-I11</f>
        <v>1317.56</v>
      </c>
      <c r="K11" s="124">
        <f t="shared" ref="K11:K26" si="8">SUM(L11:T11)</f>
        <v>609.66</v>
      </c>
      <c r="L11" s="55"/>
      <c r="M11" s="124"/>
      <c r="N11" s="55"/>
      <c r="O11" s="124"/>
      <c r="P11" s="55">
        <v>82.66</v>
      </c>
      <c r="Q11" s="124">
        <v>131.75</v>
      </c>
      <c r="R11" s="55">
        <v>131.75</v>
      </c>
      <c r="S11" s="124">
        <v>131.75</v>
      </c>
      <c r="T11" s="55">
        <v>131.75</v>
      </c>
      <c r="U11" s="124">
        <f>(B11/F11/$F$2*222)-P11</f>
        <v>-1.4104666666666645</v>
      </c>
      <c r="V11" s="55">
        <f>(B11/F11)-U11</f>
        <v>133.16646666666668</v>
      </c>
      <c r="W11" s="124">
        <v>131.75</v>
      </c>
      <c r="X11" s="55">
        <v>131.76</v>
      </c>
      <c r="Y11" s="124">
        <v>131.76</v>
      </c>
      <c r="Z11" s="55">
        <v>131.76</v>
      </c>
      <c r="AA11" s="55">
        <v>47.7</v>
      </c>
      <c r="AB11" s="124"/>
      <c r="AC11" s="124"/>
      <c r="AD11" s="55"/>
      <c r="AE11" s="124"/>
      <c r="AF11" s="55"/>
      <c r="AG11" s="124"/>
      <c r="AH11" s="124">
        <f t="shared" ref="AH11:AH23" si="9">IF(I11=0,0,K11+V11)</f>
        <v>0</v>
      </c>
      <c r="AI11" s="124">
        <f t="shared" ref="AI11:AI26" si="10">IF(J11=0,0,K11+V11)</f>
        <v>742.82646666666665</v>
      </c>
      <c r="AJ11" s="57">
        <f t="shared" ref="AJ11:AJ26" si="11">B11-K11-V11</f>
        <v>574.7335333333333</v>
      </c>
    </row>
    <row r="12" spans="1:36" hidden="1" x14ac:dyDescent="0.25">
      <c r="A12" s="56" t="s">
        <v>35</v>
      </c>
      <c r="B12" s="99">
        <v>4383.4799999999996</v>
      </c>
      <c r="C12" s="99">
        <v>4383.4799999999996</v>
      </c>
      <c r="D12" s="109">
        <v>42179</v>
      </c>
      <c r="E12" s="78" t="s">
        <v>6</v>
      </c>
      <c r="F12" s="51">
        <v>10</v>
      </c>
      <c r="G12" s="88">
        <v>0.1</v>
      </c>
      <c r="H12" s="55">
        <f t="shared" si="5"/>
        <v>0</v>
      </c>
      <c r="I12" s="124">
        <f t="shared" si="6"/>
        <v>0</v>
      </c>
      <c r="J12" s="55">
        <f t="shared" si="7"/>
        <v>4383.4799999999996</v>
      </c>
      <c r="K12" s="124">
        <f t="shared" si="8"/>
        <v>657.52</v>
      </c>
      <c r="L12" s="55"/>
      <c r="M12" s="124"/>
      <c r="N12" s="55"/>
      <c r="O12" s="124"/>
      <c r="P12" s="55"/>
      <c r="Q12" s="124"/>
      <c r="R12" s="55"/>
      <c r="S12" s="124">
        <v>219.17</v>
      </c>
      <c r="T12" s="55">
        <v>438.35</v>
      </c>
      <c r="U12" s="124">
        <f>(B12/F12/$F$2*187)-S12</f>
        <v>8.5274333333333061</v>
      </c>
      <c r="V12" s="55">
        <f>(B12/F12)+U12</f>
        <v>446.87543333333326</v>
      </c>
      <c r="W12" s="124">
        <v>438.35</v>
      </c>
      <c r="X12" s="55">
        <v>438.35</v>
      </c>
      <c r="Y12" s="124">
        <v>438.35</v>
      </c>
      <c r="Z12" s="55">
        <v>438.35</v>
      </c>
      <c r="AA12" s="158">
        <v>438.35</v>
      </c>
      <c r="AB12" s="124">
        <v>438.35</v>
      </c>
      <c r="AC12" s="124">
        <v>438.35</v>
      </c>
      <c r="AD12" s="55">
        <f>B12-SUM(S12:AC12)</f>
        <v>202.10713333333297</v>
      </c>
      <c r="AE12" s="124"/>
      <c r="AF12" s="55"/>
      <c r="AG12" s="124"/>
      <c r="AH12" s="124">
        <f t="shared" si="9"/>
        <v>0</v>
      </c>
      <c r="AI12" s="124">
        <f t="shared" si="10"/>
        <v>1104.3954333333331</v>
      </c>
      <c r="AJ12" s="57">
        <f t="shared" si="11"/>
        <v>3279.0845666666664</v>
      </c>
    </row>
    <row r="13" spans="1:36" hidden="1" x14ac:dyDescent="0.25">
      <c r="A13" s="64" t="s">
        <v>15</v>
      </c>
      <c r="B13" s="99">
        <v>2681.96</v>
      </c>
      <c r="C13" s="99">
        <v>2681.96</v>
      </c>
      <c r="D13" s="108">
        <v>40955</v>
      </c>
      <c r="E13" s="81" t="s">
        <v>6</v>
      </c>
      <c r="F13" s="3">
        <v>10</v>
      </c>
      <c r="G13" s="88">
        <v>0.1</v>
      </c>
      <c r="H13" s="55">
        <f t="shared" si="5"/>
        <v>0</v>
      </c>
      <c r="I13" s="124">
        <f t="shared" si="6"/>
        <v>0</v>
      </c>
      <c r="J13" s="55">
        <f t="shared" si="7"/>
        <v>2681.96</v>
      </c>
      <c r="K13" s="124">
        <f t="shared" si="8"/>
        <v>1303.47</v>
      </c>
      <c r="L13" s="55"/>
      <c r="M13" s="124"/>
      <c r="N13" s="55"/>
      <c r="O13" s="124"/>
      <c r="P13" s="55">
        <v>230.71</v>
      </c>
      <c r="Q13" s="124">
        <v>268.19</v>
      </c>
      <c r="R13" s="55">
        <v>268.19</v>
      </c>
      <c r="S13" s="124">
        <v>268.19</v>
      </c>
      <c r="T13" s="55">
        <v>268.19</v>
      </c>
      <c r="U13" s="124">
        <f>(B13/F13/$F$2*316)-P13</f>
        <v>4.7064888888888845</v>
      </c>
      <c r="V13" s="55">
        <f>(B13/F13)+U13</f>
        <v>272.90248888888891</v>
      </c>
      <c r="W13" s="124">
        <v>268.19</v>
      </c>
      <c r="X13" s="55">
        <v>268.19</v>
      </c>
      <c r="Y13" s="124">
        <v>268.19</v>
      </c>
      <c r="Z13" s="55">
        <v>268.19</v>
      </c>
      <c r="AA13" s="158">
        <v>33.520000000000003</v>
      </c>
      <c r="AB13" s="124"/>
      <c r="AC13" s="124"/>
      <c r="AD13" s="55"/>
      <c r="AE13" s="124"/>
      <c r="AF13" s="55"/>
      <c r="AG13" s="124"/>
      <c r="AH13" s="124">
        <f t="shared" si="9"/>
        <v>0</v>
      </c>
      <c r="AI13" s="124">
        <f t="shared" si="10"/>
        <v>1576.3724888888889</v>
      </c>
      <c r="AJ13" s="57">
        <f t="shared" si="11"/>
        <v>1105.5875111111111</v>
      </c>
    </row>
    <row r="14" spans="1:36" hidden="1" x14ac:dyDescent="0.25">
      <c r="A14" s="64" t="s">
        <v>11</v>
      </c>
      <c r="B14" s="99">
        <v>2233.14</v>
      </c>
      <c r="C14" s="99">
        <v>2233.14</v>
      </c>
      <c r="D14" s="109">
        <v>40397</v>
      </c>
      <c r="E14" s="82" t="s">
        <v>6</v>
      </c>
      <c r="F14" s="3">
        <v>10</v>
      </c>
      <c r="G14" s="88">
        <v>0.1</v>
      </c>
      <c r="H14" s="55">
        <f t="shared" si="5"/>
        <v>0</v>
      </c>
      <c r="I14" s="124">
        <f t="shared" si="6"/>
        <v>0</v>
      </c>
      <c r="J14" s="55">
        <f t="shared" si="7"/>
        <v>2233.14</v>
      </c>
      <c r="K14" s="124">
        <f t="shared" si="8"/>
        <v>1428.5799999999997</v>
      </c>
      <c r="L14" s="55"/>
      <c r="M14" s="124"/>
      <c r="N14" s="55">
        <v>88.72</v>
      </c>
      <c r="O14" s="124">
        <v>223.31</v>
      </c>
      <c r="P14" s="55">
        <v>223.31</v>
      </c>
      <c r="Q14" s="124">
        <v>223.31</v>
      </c>
      <c r="R14" s="55">
        <v>223.31</v>
      </c>
      <c r="S14" s="124">
        <v>223.31</v>
      </c>
      <c r="T14" s="55">
        <v>223.31</v>
      </c>
      <c r="U14" s="124">
        <f>(B14/F14/$F$2*142)-N14</f>
        <v>-0.63503333333333956</v>
      </c>
      <c r="V14" s="55">
        <f>(B14/F14)-U14</f>
        <v>223.94903333333332</v>
      </c>
      <c r="W14" s="124">
        <v>223.31</v>
      </c>
      <c r="X14" s="55">
        <v>223.31</v>
      </c>
      <c r="Y14" s="124">
        <v>133.99</v>
      </c>
      <c r="Z14" s="55"/>
      <c r="AA14" s="158"/>
      <c r="AB14" s="124"/>
      <c r="AC14" s="124"/>
      <c r="AD14" s="55"/>
      <c r="AE14" s="124"/>
      <c r="AF14" s="55"/>
      <c r="AG14" s="124"/>
      <c r="AH14" s="124">
        <f t="shared" si="9"/>
        <v>0</v>
      </c>
      <c r="AI14" s="124">
        <f t="shared" si="10"/>
        <v>1652.529033333333</v>
      </c>
      <c r="AJ14" s="57">
        <f t="shared" si="11"/>
        <v>580.61096666666685</v>
      </c>
    </row>
    <row r="15" spans="1:36" ht="15.75" hidden="1" x14ac:dyDescent="0.25">
      <c r="A15" s="65" t="s">
        <v>8</v>
      </c>
      <c r="B15" s="99">
        <v>2425.4899999999998</v>
      </c>
      <c r="C15" s="99">
        <v>2425.4899999999998</v>
      </c>
      <c r="D15" s="109">
        <v>39971</v>
      </c>
      <c r="E15" s="83" t="s">
        <v>6</v>
      </c>
      <c r="F15" s="3">
        <v>10</v>
      </c>
      <c r="G15" s="88">
        <v>0.1</v>
      </c>
      <c r="H15" s="55">
        <f t="shared" si="5"/>
        <v>0</v>
      </c>
      <c r="I15" s="124">
        <f t="shared" si="6"/>
        <v>0</v>
      </c>
      <c r="J15" s="55">
        <f t="shared" si="7"/>
        <v>2425.4899999999998</v>
      </c>
      <c r="K15" s="124">
        <f t="shared" si="8"/>
        <v>1819.1299999999999</v>
      </c>
      <c r="L15" s="55"/>
      <c r="M15" s="124">
        <v>121.28</v>
      </c>
      <c r="N15" s="55">
        <v>242.55</v>
      </c>
      <c r="O15" s="124">
        <v>242.55</v>
      </c>
      <c r="P15" s="55">
        <v>242.55</v>
      </c>
      <c r="Q15" s="124">
        <v>242.55</v>
      </c>
      <c r="R15" s="55">
        <v>242.55</v>
      </c>
      <c r="S15" s="124">
        <v>242.55</v>
      </c>
      <c r="T15" s="55">
        <v>242.55</v>
      </c>
      <c r="U15" s="124">
        <f>(B15/F15/$F$2*203)-M15</f>
        <v>15.490686111111103</v>
      </c>
      <c r="V15" s="55">
        <f>(B15/F15)+U15</f>
        <v>258.03968611111111</v>
      </c>
      <c r="W15" s="124">
        <v>242.55</v>
      </c>
      <c r="X15" s="55">
        <v>105.97</v>
      </c>
      <c r="Y15" s="124"/>
      <c r="Z15" s="55"/>
      <c r="AA15" s="158"/>
      <c r="AB15" s="124"/>
      <c r="AC15" s="124"/>
      <c r="AD15" s="55"/>
      <c r="AE15" s="124"/>
      <c r="AF15" s="55"/>
      <c r="AG15" s="124"/>
      <c r="AH15" s="124">
        <f t="shared" si="9"/>
        <v>0</v>
      </c>
      <c r="AI15" s="124">
        <f t="shared" si="10"/>
        <v>2077.1696861111109</v>
      </c>
      <c r="AJ15" s="57">
        <f t="shared" si="11"/>
        <v>348.32031388888879</v>
      </c>
    </row>
    <row r="16" spans="1:36" hidden="1" x14ac:dyDescent="0.25">
      <c r="A16" s="64" t="s">
        <v>16</v>
      </c>
      <c r="B16" s="99">
        <v>751.71</v>
      </c>
      <c r="C16" s="99">
        <v>751.71</v>
      </c>
      <c r="D16" s="108">
        <v>41698</v>
      </c>
      <c r="E16" s="79" t="s">
        <v>6</v>
      </c>
      <c r="F16" s="3">
        <v>3</v>
      </c>
      <c r="G16" s="88">
        <v>0.33329999999999999</v>
      </c>
      <c r="H16" s="55">
        <f t="shared" si="5"/>
        <v>0</v>
      </c>
      <c r="I16" s="124">
        <f t="shared" si="6"/>
        <v>0</v>
      </c>
      <c r="J16" s="55">
        <f t="shared" si="7"/>
        <v>751.71</v>
      </c>
      <c r="K16" s="124">
        <f t="shared" si="8"/>
        <v>709.94</v>
      </c>
      <c r="L16" s="55"/>
      <c r="M16" s="124"/>
      <c r="N16" s="55"/>
      <c r="O16" s="124"/>
      <c r="P16" s="55"/>
      <c r="Q16" s="124"/>
      <c r="R16" s="55">
        <v>208.8</v>
      </c>
      <c r="S16" s="124">
        <v>250.57</v>
      </c>
      <c r="T16" s="55">
        <v>250.57</v>
      </c>
      <c r="U16" s="124">
        <f>(B16/F16/$F$2*301)-R16</f>
        <v>0.70436111111109767</v>
      </c>
      <c r="V16" s="55">
        <v>41.77</v>
      </c>
      <c r="W16" s="124"/>
      <c r="X16" s="55"/>
      <c r="Y16" s="124"/>
      <c r="Z16" s="55"/>
      <c r="AA16" s="158"/>
      <c r="AB16" s="124"/>
      <c r="AC16" s="124"/>
      <c r="AD16" s="55"/>
      <c r="AE16" s="124"/>
      <c r="AF16" s="55"/>
      <c r="AG16" s="124"/>
      <c r="AH16" s="124">
        <f t="shared" si="9"/>
        <v>0</v>
      </c>
      <c r="AI16" s="124">
        <f t="shared" si="10"/>
        <v>751.71</v>
      </c>
      <c r="AJ16" s="57">
        <f t="shared" si="11"/>
        <v>0</v>
      </c>
    </row>
    <row r="17" spans="1:36" hidden="1" x14ac:dyDescent="0.25">
      <c r="A17" s="64" t="s">
        <v>12</v>
      </c>
      <c r="B17" s="99">
        <v>7993.04</v>
      </c>
      <c r="C17" s="99">
        <v>7993.04</v>
      </c>
      <c r="D17" s="108">
        <v>40437</v>
      </c>
      <c r="E17" s="81" t="s">
        <v>6</v>
      </c>
      <c r="F17" s="3">
        <v>10</v>
      </c>
      <c r="G17" s="88">
        <v>0.1</v>
      </c>
      <c r="H17" s="55">
        <f t="shared" si="5"/>
        <v>0</v>
      </c>
      <c r="I17" s="124">
        <f t="shared" si="6"/>
        <v>0</v>
      </c>
      <c r="J17" s="55">
        <f t="shared" si="7"/>
        <v>7993.04</v>
      </c>
      <c r="K17" s="124">
        <f t="shared" si="8"/>
        <v>5026.72</v>
      </c>
      <c r="L17" s="55"/>
      <c r="M17" s="124"/>
      <c r="N17" s="55">
        <v>230.92</v>
      </c>
      <c r="O17" s="124">
        <v>799.3</v>
      </c>
      <c r="P17" s="55">
        <v>799.3</v>
      </c>
      <c r="Q17" s="124">
        <v>799.3</v>
      </c>
      <c r="R17" s="55">
        <v>799.3</v>
      </c>
      <c r="S17" s="124">
        <v>799.3</v>
      </c>
      <c r="T17" s="55">
        <v>799.3</v>
      </c>
      <c r="U17" s="124">
        <f>(B17/F17/$F$2*103)-N17</f>
        <v>-2.2302444444444518</v>
      </c>
      <c r="V17" s="55">
        <f>(B17/F17)-U17</f>
        <v>801.53424444444443</v>
      </c>
      <c r="W17" s="124">
        <v>799.3</v>
      </c>
      <c r="X17" s="55">
        <v>799.3</v>
      </c>
      <c r="Y17" s="124">
        <v>566.19000000000005</v>
      </c>
      <c r="Z17" s="55"/>
      <c r="AA17" s="158"/>
      <c r="AB17" s="124"/>
      <c r="AC17" s="124"/>
      <c r="AD17" s="55"/>
      <c r="AE17" s="124"/>
      <c r="AF17" s="55"/>
      <c r="AG17" s="124"/>
      <c r="AH17" s="124">
        <f t="shared" si="9"/>
        <v>0</v>
      </c>
      <c r="AI17" s="124">
        <f t="shared" si="10"/>
        <v>5828.2542444444443</v>
      </c>
      <c r="AJ17" s="57">
        <f t="shared" si="11"/>
        <v>2164.7857555555552</v>
      </c>
    </row>
    <row r="18" spans="1:36" hidden="1" x14ac:dyDescent="0.25">
      <c r="A18" s="56" t="s">
        <v>21</v>
      </c>
      <c r="B18" s="99">
        <v>2649.49</v>
      </c>
      <c r="C18" s="99">
        <v>2649.49</v>
      </c>
      <c r="D18" s="109">
        <v>42277</v>
      </c>
      <c r="E18" s="78" t="s">
        <v>6</v>
      </c>
      <c r="F18" s="51">
        <v>10</v>
      </c>
      <c r="G18" s="88">
        <v>0.1</v>
      </c>
      <c r="H18" s="55">
        <f t="shared" si="5"/>
        <v>0</v>
      </c>
      <c r="I18" s="124">
        <f t="shared" si="6"/>
        <v>0</v>
      </c>
      <c r="J18" s="55">
        <f t="shared" si="7"/>
        <v>2649.49</v>
      </c>
      <c r="K18" s="124">
        <f t="shared" si="8"/>
        <v>331.19</v>
      </c>
      <c r="L18" s="55"/>
      <c r="M18" s="124"/>
      <c r="N18" s="55"/>
      <c r="O18" s="124"/>
      <c r="P18" s="55"/>
      <c r="Q18" s="124"/>
      <c r="R18" s="55"/>
      <c r="S18" s="124">
        <v>66.239999999999995</v>
      </c>
      <c r="T18" s="55">
        <v>264.95</v>
      </c>
      <c r="U18" s="124">
        <f>(B18/F18/$F$2*91)-S18</f>
        <v>0.73321944444444398</v>
      </c>
      <c r="V18" s="55">
        <f t="shared" ref="V18:V22" si="12">(B18/F18)+U18</f>
        <v>265.6822194444444</v>
      </c>
      <c r="W18" s="124">
        <v>264.95</v>
      </c>
      <c r="X18" s="55">
        <v>264.95</v>
      </c>
      <c r="Y18" s="124">
        <v>264.95</v>
      </c>
      <c r="Z18" s="55">
        <v>264.95</v>
      </c>
      <c r="AA18" s="158">
        <v>264.95</v>
      </c>
      <c r="AB18" s="124">
        <v>264.95</v>
      </c>
      <c r="AC18" s="124">
        <v>264.95</v>
      </c>
      <c r="AD18" s="55">
        <f t="shared" ref="AD18" si="13">B18-SUM(S18:AC18)</f>
        <v>197.23456111111091</v>
      </c>
      <c r="AE18" s="124"/>
      <c r="AF18" s="55"/>
      <c r="AG18" s="124"/>
      <c r="AH18" s="124">
        <f t="shared" si="9"/>
        <v>0</v>
      </c>
      <c r="AI18" s="124">
        <f t="shared" si="10"/>
        <v>596.87221944444445</v>
      </c>
      <c r="AJ18" s="57">
        <f t="shared" si="11"/>
        <v>2052.6177805555553</v>
      </c>
    </row>
    <row r="19" spans="1:36" ht="15.75" hidden="1" x14ac:dyDescent="0.25">
      <c r="A19" s="66" t="s">
        <v>7</v>
      </c>
      <c r="B19" s="99">
        <v>3822.41</v>
      </c>
      <c r="C19" s="99">
        <v>3822.41</v>
      </c>
      <c r="D19" s="111">
        <v>39770</v>
      </c>
      <c r="E19" s="84" t="s">
        <v>6</v>
      </c>
      <c r="F19" s="1">
        <v>10</v>
      </c>
      <c r="G19" s="88">
        <v>0.1</v>
      </c>
      <c r="H19" s="55">
        <f t="shared" si="5"/>
        <v>0</v>
      </c>
      <c r="I19" s="124">
        <f t="shared" si="6"/>
        <v>0</v>
      </c>
      <c r="J19" s="55">
        <f t="shared" si="7"/>
        <v>3822.41</v>
      </c>
      <c r="K19" s="124">
        <f t="shared" si="8"/>
        <v>3102.5099999999993</v>
      </c>
      <c r="L19" s="55">
        <v>44.59</v>
      </c>
      <c r="M19" s="124">
        <v>382.24</v>
      </c>
      <c r="N19" s="55">
        <v>382.24</v>
      </c>
      <c r="O19" s="124">
        <v>382.24</v>
      </c>
      <c r="P19" s="55">
        <v>382.24</v>
      </c>
      <c r="Q19" s="124">
        <v>382.24</v>
      </c>
      <c r="R19" s="55">
        <v>382.24</v>
      </c>
      <c r="S19" s="124">
        <v>382.24</v>
      </c>
      <c r="T19" s="55">
        <v>382.24</v>
      </c>
      <c r="U19" s="124">
        <f>(B19/F19/$F$2*43)-L19</f>
        <v>1.0665638888888864</v>
      </c>
      <c r="V19" s="55">
        <f t="shared" si="12"/>
        <v>383.30756388888886</v>
      </c>
      <c r="W19" s="124">
        <v>336.59</v>
      </c>
      <c r="X19" s="55"/>
      <c r="Y19" s="124"/>
      <c r="Z19" s="55"/>
      <c r="AA19" s="158"/>
      <c r="AB19" s="124"/>
      <c r="AC19" s="124"/>
      <c r="AD19" s="55"/>
      <c r="AE19" s="124"/>
      <c r="AF19" s="55"/>
      <c r="AG19" s="124"/>
      <c r="AH19" s="124">
        <f t="shared" si="9"/>
        <v>0</v>
      </c>
      <c r="AI19" s="124">
        <f>IF(J19=0,0,K19+V19)</f>
        <v>3485.8175638888883</v>
      </c>
      <c r="AJ19" s="57">
        <f t="shared" si="11"/>
        <v>336.59243611111168</v>
      </c>
    </row>
    <row r="20" spans="1:36" hidden="1" x14ac:dyDescent="0.25">
      <c r="A20" s="64" t="s">
        <v>13</v>
      </c>
      <c r="B20" s="99">
        <v>1375.4</v>
      </c>
      <c r="C20" s="99">
        <v>1375.4</v>
      </c>
      <c r="D20" s="108">
        <v>40472</v>
      </c>
      <c r="E20" s="81" t="s">
        <v>6</v>
      </c>
      <c r="F20" s="3">
        <v>10</v>
      </c>
      <c r="G20" s="88">
        <v>0.1</v>
      </c>
      <c r="H20" s="55">
        <f t="shared" si="5"/>
        <v>0</v>
      </c>
      <c r="I20" s="124">
        <f t="shared" si="6"/>
        <v>0</v>
      </c>
      <c r="J20" s="55">
        <f t="shared" si="7"/>
        <v>1375.4</v>
      </c>
      <c r="K20" s="124">
        <f t="shared" si="8"/>
        <v>863.05999999999983</v>
      </c>
      <c r="L20" s="55"/>
      <c r="M20" s="124"/>
      <c r="N20" s="55">
        <v>37.82</v>
      </c>
      <c r="O20" s="124">
        <v>137.54</v>
      </c>
      <c r="P20" s="55">
        <v>137.54</v>
      </c>
      <c r="Q20" s="124">
        <v>137.54</v>
      </c>
      <c r="R20" s="55">
        <v>137.54</v>
      </c>
      <c r="S20" s="124">
        <v>137.54</v>
      </c>
      <c r="T20" s="55">
        <v>137.54</v>
      </c>
      <c r="U20" s="124">
        <f>(B20/F20/$F$2*70)-N20</f>
        <v>-11.076111111111111</v>
      </c>
      <c r="V20" s="55">
        <f t="shared" si="12"/>
        <v>126.4638888888889</v>
      </c>
      <c r="W20" s="124">
        <v>137.54</v>
      </c>
      <c r="X20" s="55">
        <v>137.54</v>
      </c>
      <c r="Y20" s="124">
        <v>110.8</v>
      </c>
      <c r="Z20" s="55"/>
      <c r="AA20" s="158"/>
      <c r="AB20" s="124"/>
      <c r="AC20" s="124"/>
      <c r="AD20" s="55"/>
      <c r="AE20" s="124"/>
      <c r="AF20" s="55"/>
      <c r="AG20" s="124"/>
      <c r="AH20" s="124">
        <f t="shared" si="9"/>
        <v>0</v>
      </c>
      <c r="AI20" s="124">
        <f t="shared" si="10"/>
        <v>989.52388888888868</v>
      </c>
      <c r="AJ20" s="57">
        <f t="shared" si="11"/>
        <v>385.87611111111136</v>
      </c>
    </row>
    <row r="21" spans="1:36" hidden="1" x14ac:dyDescent="0.25">
      <c r="A21" s="56" t="s">
        <v>18</v>
      </c>
      <c r="B21" s="99">
        <v>33835.199999999997</v>
      </c>
      <c r="C21" s="99">
        <v>33835.199999999997</v>
      </c>
      <c r="D21" s="109">
        <v>42236</v>
      </c>
      <c r="E21" s="78" t="s">
        <v>6</v>
      </c>
      <c r="F21" s="51">
        <v>10</v>
      </c>
      <c r="G21" s="88">
        <v>0.1</v>
      </c>
      <c r="H21" s="55">
        <f t="shared" si="5"/>
        <v>0</v>
      </c>
      <c r="I21" s="124">
        <f t="shared" si="6"/>
        <v>0</v>
      </c>
      <c r="J21" s="55">
        <f t="shared" si="7"/>
        <v>33835.199999999997</v>
      </c>
      <c r="K21" s="124">
        <f t="shared" si="8"/>
        <v>4652.34</v>
      </c>
      <c r="L21" s="55"/>
      <c r="M21" s="124"/>
      <c r="N21" s="55"/>
      <c r="O21" s="124"/>
      <c r="P21" s="55"/>
      <c r="Q21" s="124"/>
      <c r="R21" s="55"/>
      <c r="S21" s="124">
        <v>1268.82</v>
      </c>
      <c r="T21" s="55">
        <v>3383.52</v>
      </c>
      <c r="U21" s="124">
        <f>(B21/F21/$F$2*131)-S21</f>
        <v>-37.594666666666853</v>
      </c>
      <c r="V21" s="55">
        <f t="shared" si="12"/>
        <v>3345.9253333333327</v>
      </c>
      <c r="W21" s="124">
        <v>3383.52</v>
      </c>
      <c r="X21" s="55">
        <v>3383.52</v>
      </c>
      <c r="Y21" s="124">
        <v>3383.52</v>
      </c>
      <c r="Z21" s="55">
        <v>3383.52</v>
      </c>
      <c r="AA21" s="158">
        <v>3383.52</v>
      </c>
      <c r="AB21" s="124">
        <v>3383.52</v>
      </c>
      <c r="AC21" s="124">
        <v>3383.52</v>
      </c>
      <c r="AD21" s="55">
        <v>2114.6999999999998</v>
      </c>
      <c r="AE21" s="124"/>
      <c r="AF21" s="55"/>
      <c r="AG21" s="124"/>
      <c r="AH21" s="124">
        <f t="shared" si="9"/>
        <v>0</v>
      </c>
      <c r="AI21" s="124">
        <f t="shared" si="10"/>
        <v>7998.2653333333328</v>
      </c>
      <c r="AJ21" s="57">
        <f t="shared" si="11"/>
        <v>25836.934666666664</v>
      </c>
    </row>
    <row r="22" spans="1:36" hidden="1" x14ac:dyDescent="0.25">
      <c r="A22" s="67" t="s">
        <v>24</v>
      </c>
      <c r="B22" s="100">
        <v>4945.1499999999996</v>
      </c>
      <c r="C22" s="100">
        <v>4945.1499999999996</v>
      </c>
      <c r="D22" s="112">
        <v>42489</v>
      </c>
      <c r="E22" s="85" t="s">
        <v>6</v>
      </c>
      <c r="F22" s="37">
        <v>5</v>
      </c>
      <c r="G22" s="91">
        <v>0.2</v>
      </c>
      <c r="H22" s="38">
        <f t="shared" si="5"/>
        <v>0</v>
      </c>
      <c r="I22" s="126">
        <f t="shared" si="6"/>
        <v>0</v>
      </c>
      <c r="J22" s="38">
        <f t="shared" si="7"/>
        <v>4945.1499999999996</v>
      </c>
      <c r="K22" s="126">
        <f t="shared" si="8"/>
        <v>659.35</v>
      </c>
      <c r="L22" s="38"/>
      <c r="M22" s="126"/>
      <c r="N22" s="38"/>
      <c r="O22" s="126"/>
      <c r="P22" s="38"/>
      <c r="Q22" s="126"/>
      <c r="R22" s="38"/>
      <c r="S22" s="126"/>
      <c r="T22" s="38">
        <v>659.35</v>
      </c>
      <c r="U22" s="126">
        <f>(B22/F22/$F$2*242)-T22</f>
        <v>5.4979444444444425</v>
      </c>
      <c r="V22" s="38">
        <f t="shared" si="12"/>
        <v>994.52794444444442</v>
      </c>
      <c r="W22" s="126">
        <v>989.03</v>
      </c>
      <c r="X22" s="38">
        <v>989.03</v>
      </c>
      <c r="Y22" s="126">
        <v>989.03</v>
      </c>
      <c r="Z22" s="38">
        <v>324.18</v>
      </c>
      <c r="AA22" s="161"/>
      <c r="AB22" s="126"/>
      <c r="AC22" s="126"/>
      <c r="AD22" s="38"/>
      <c r="AE22" s="126"/>
      <c r="AF22" s="38"/>
      <c r="AG22" s="126"/>
      <c r="AH22" s="126">
        <f t="shared" si="9"/>
        <v>0</v>
      </c>
      <c r="AI22" s="126">
        <f t="shared" si="10"/>
        <v>1653.8779444444444</v>
      </c>
      <c r="AJ22" s="129">
        <f t="shared" si="11"/>
        <v>3291.2720555555547</v>
      </c>
    </row>
    <row r="23" spans="1:36" hidden="1" x14ac:dyDescent="0.25">
      <c r="A23" s="58" t="s">
        <v>26</v>
      </c>
      <c r="B23" s="101">
        <v>961.14</v>
      </c>
      <c r="C23" s="101">
        <v>961.14</v>
      </c>
      <c r="D23" s="135">
        <v>42560</v>
      </c>
      <c r="E23" s="80" t="s">
        <v>6</v>
      </c>
      <c r="F23" s="33">
        <v>10</v>
      </c>
      <c r="G23" s="89">
        <v>0.1</v>
      </c>
      <c r="H23" s="35">
        <f t="shared" si="5"/>
        <v>0</v>
      </c>
      <c r="I23" s="125">
        <f t="shared" si="6"/>
        <v>0</v>
      </c>
      <c r="J23" s="35">
        <f t="shared" si="7"/>
        <v>961.14</v>
      </c>
      <c r="K23" s="125">
        <f t="shared" si="8"/>
        <v>96.11</v>
      </c>
      <c r="L23" s="35"/>
      <c r="M23" s="125"/>
      <c r="N23" s="35"/>
      <c r="O23" s="125"/>
      <c r="P23" s="35"/>
      <c r="Q23" s="125"/>
      <c r="R23" s="35"/>
      <c r="S23" s="125"/>
      <c r="T23" s="35">
        <v>96.11</v>
      </c>
      <c r="U23" s="125">
        <f>(B23/F23/$F$2*172)-T23</f>
        <v>-50.188866666666662</v>
      </c>
      <c r="V23" s="35">
        <f>(B23/F23)+U23</f>
        <v>45.925133333333342</v>
      </c>
      <c r="W23" s="125">
        <f t="shared" ref="W23:AD23" si="14">$B$23/$F$23</f>
        <v>96.114000000000004</v>
      </c>
      <c r="X23" s="35">
        <f t="shared" si="14"/>
        <v>96.114000000000004</v>
      </c>
      <c r="Y23" s="125">
        <f t="shared" si="14"/>
        <v>96.114000000000004</v>
      </c>
      <c r="Z23" s="35">
        <f t="shared" si="14"/>
        <v>96.114000000000004</v>
      </c>
      <c r="AA23" s="159">
        <f t="shared" si="14"/>
        <v>96.114000000000004</v>
      </c>
      <c r="AB23" s="125">
        <f t="shared" si="14"/>
        <v>96.114000000000004</v>
      </c>
      <c r="AC23" s="125">
        <f t="shared" si="14"/>
        <v>96.114000000000004</v>
      </c>
      <c r="AD23" s="35">
        <f t="shared" si="14"/>
        <v>96.114000000000004</v>
      </c>
      <c r="AE23" s="125">
        <v>50.19</v>
      </c>
      <c r="AF23" s="35"/>
      <c r="AG23" s="125"/>
      <c r="AH23" s="125">
        <f t="shared" si="9"/>
        <v>0</v>
      </c>
      <c r="AI23" s="125">
        <f t="shared" si="10"/>
        <v>142.03513333333333</v>
      </c>
      <c r="AJ23" s="73">
        <f t="shared" si="11"/>
        <v>819.10486666666668</v>
      </c>
    </row>
    <row r="24" spans="1:36" hidden="1" x14ac:dyDescent="0.25">
      <c r="A24" s="58"/>
      <c r="B24" s="99">
        <f>SUM(B9:B23)</f>
        <v>78536.459999999977</v>
      </c>
      <c r="C24" s="99">
        <f>SUM(C9:C23)</f>
        <v>78536.459999999977</v>
      </c>
      <c r="D24" s="113"/>
      <c r="E24" s="78"/>
      <c r="F24" s="51"/>
      <c r="G24" s="87"/>
      <c r="H24" s="60">
        <f>SUM(H10:H23)</f>
        <v>0</v>
      </c>
      <c r="I24" s="127">
        <f>SUM(I10:I23)</f>
        <v>0</v>
      </c>
      <c r="J24" s="60">
        <f>SUM(J9:J23)</f>
        <v>78536.459999999977</v>
      </c>
      <c r="K24" s="127">
        <f>SUM(K9:K23)</f>
        <v>28833.269999999997</v>
      </c>
      <c r="L24" s="127">
        <f t="shared" ref="L24:U24" si="15">SUM(L9:L23)</f>
        <v>44.59</v>
      </c>
      <c r="M24" s="127">
        <f t="shared" si="15"/>
        <v>503.52</v>
      </c>
      <c r="N24" s="127">
        <f t="shared" si="15"/>
        <v>982.25</v>
      </c>
      <c r="O24" s="127">
        <f t="shared" si="15"/>
        <v>1784.9399999999998</v>
      </c>
      <c r="P24" s="127">
        <f t="shared" si="15"/>
        <v>2098.31</v>
      </c>
      <c r="Q24" s="127">
        <f t="shared" si="15"/>
        <v>2184.88</v>
      </c>
      <c r="R24" s="127">
        <f t="shared" si="15"/>
        <v>2393.6799999999998</v>
      </c>
      <c r="S24" s="127">
        <f t="shared" si="15"/>
        <v>4035.0399999999991</v>
      </c>
      <c r="T24" s="127">
        <f t="shared" si="15"/>
        <v>12123.4</v>
      </c>
      <c r="U24" s="127">
        <f t="shared" si="15"/>
        <v>-61.368691666666919</v>
      </c>
      <c r="V24" s="60">
        <f>SUM(V10:V23)</f>
        <v>7526.5494361111096</v>
      </c>
      <c r="W24" s="127">
        <f>SUM(W10:W23)</f>
        <v>7492.6339999999991</v>
      </c>
      <c r="X24" s="60">
        <f t="shared" ref="X24:AG24" si="16">SUM(X10:X23)</f>
        <v>7019.4739999999993</v>
      </c>
      <c r="Y24" s="127">
        <f t="shared" si="16"/>
        <v>6564.3339999999998</v>
      </c>
      <c r="Z24" s="60">
        <f t="shared" si="16"/>
        <v>5088.5039999999999</v>
      </c>
      <c r="AA24" s="160">
        <f t="shared" si="16"/>
        <v>4445.5939999999991</v>
      </c>
      <c r="AB24" s="127">
        <f t="shared" si="16"/>
        <v>4364.3739999999998</v>
      </c>
      <c r="AC24" s="127">
        <f t="shared" si="16"/>
        <v>4364.3739999999998</v>
      </c>
      <c r="AD24" s="60">
        <f t="shared" si="16"/>
        <v>2746.2356944444437</v>
      </c>
      <c r="AE24" s="127">
        <f t="shared" si="16"/>
        <v>50.19</v>
      </c>
      <c r="AF24" s="60">
        <f t="shared" si="16"/>
        <v>0</v>
      </c>
      <c r="AG24" s="60">
        <f t="shared" si="16"/>
        <v>0</v>
      </c>
      <c r="AH24" s="127">
        <f>SUM(AH10:AH23)</f>
        <v>0</v>
      </c>
      <c r="AI24" s="127">
        <f>SUM(AI9:AI23)</f>
        <v>36359.819436111109</v>
      </c>
      <c r="AJ24" s="151">
        <f>SUM(AJ10:AJ23)</f>
        <v>42176.64056388889</v>
      </c>
    </row>
    <row r="25" spans="1:36" x14ac:dyDescent="0.25">
      <c r="A25" s="156" t="s">
        <v>142</v>
      </c>
      <c r="B25" s="99"/>
      <c r="C25" s="99"/>
      <c r="D25" s="113"/>
      <c r="E25" s="78"/>
      <c r="F25" s="51"/>
      <c r="G25" s="87"/>
      <c r="H25" s="55"/>
      <c r="I25" s="124"/>
      <c r="J25" s="55"/>
      <c r="K25" s="124"/>
      <c r="L25" s="55"/>
      <c r="M25" s="124"/>
      <c r="N25" s="55"/>
      <c r="O25" s="124"/>
      <c r="P25" s="55"/>
      <c r="Q25" s="124"/>
      <c r="R25" s="55"/>
      <c r="S25" s="124"/>
      <c r="T25" s="55"/>
      <c r="U25" s="124"/>
      <c r="V25" s="55"/>
      <c r="W25" s="124"/>
      <c r="X25" s="55"/>
      <c r="Y25" s="124"/>
      <c r="Z25" s="55"/>
      <c r="AA25" s="158"/>
      <c r="AB25" s="124"/>
      <c r="AC25" s="124"/>
      <c r="AD25" s="55"/>
      <c r="AE25" s="124"/>
      <c r="AF25" s="55"/>
      <c r="AG25" s="124"/>
      <c r="AH25" s="124"/>
      <c r="AI25" s="124"/>
      <c r="AJ25" s="57"/>
    </row>
    <row r="26" spans="1:36" x14ac:dyDescent="0.25">
      <c r="A26" s="58" t="s">
        <v>30</v>
      </c>
      <c r="B26" s="99">
        <v>7923.92</v>
      </c>
      <c r="C26" s="99"/>
      <c r="D26" s="113">
        <v>42824</v>
      </c>
      <c r="E26" s="78" t="s">
        <v>6</v>
      </c>
      <c r="F26" s="51">
        <v>10</v>
      </c>
      <c r="G26" s="87">
        <v>0.1</v>
      </c>
      <c r="H26" s="55">
        <f t="shared" si="5"/>
        <v>7923.92</v>
      </c>
      <c r="I26" s="124">
        <f t="shared" si="6"/>
        <v>0</v>
      </c>
      <c r="J26" s="55">
        <f t="shared" si="7"/>
        <v>7923.92</v>
      </c>
      <c r="K26" s="124">
        <f t="shared" si="8"/>
        <v>0</v>
      </c>
      <c r="L26" s="55"/>
      <c r="M26" s="124"/>
      <c r="N26" s="55"/>
      <c r="O26" s="124"/>
      <c r="P26" s="55"/>
      <c r="Q26" s="124"/>
      <c r="R26" s="55"/>
      <c r="S26" s="124"/>
      <c r="T26" s="55"/>
      <c r="U26" s="124"/>
      <c r="V26" s="215">
        <f>IF(A26="","",H26/F26/$F$2*(SUM(30-DAY(D26)+(12-MONTH(D26))*30)+1))</f>
        <v>596.49508888888897</v>
      </c>
      <c r="W26" s="215">
        <f ca="1">IF(OR(INDIRECT("A"&amp;ROW())="",YEAR($D26)+$F26&lt;INDIRECT(CHAR(COLUMN()+64)&amp;1)),"",IF(YEAR($D26)+$F26=INDIRECT(CHAR(COLUMN()+64)&amp;1),$B26-SUM($V26:INDIRECT(ADDRESS(ROW(),COLUMN()-1,4))),INDIRECT("B"&amp;ROW())/INDIRECT("F"&amp;ROW())))</f>
        <v>792.39200000000005</v>
      </c>
      <c r="X26" s="215">
        <f ca="1">IF(OR(INDIRECT("A"&amp;ROW())="",YEAR($D26)+$F26&lt;INDIRECT(CHAR(COLUMN()+64)&amp;1)),"",IF(YEAR($D26)+$F26=INDIRECT(CHAR(COLUMN()+64)&amp;1),$B26-SUM($V26:INDIRECT(ADDRESS(ROW(),COLUMN()-1,4))),INDIRECT("B"&amp;ROW())/INDIRECT("F"&amp;ROW())))</f>
        <v>792.39200000000005</v>
      </c>
      <c r="Y26" s="215">
        <f ca="1">IF(OR(INDIRECT("A"&amp;ROW())="",YEAR($D26)+$F26&lt;INDIRECT(CHAR(COLUMN()+64)&amp;1)),"",IF(YEAR($D26)+$F26=INDIRECT(CHAR(COLUMN()+64)&amp;1),$B26-SUM($V26:INDIRECT(ADDRESS(ROW(),COLUMN()-1,4))),INDIRECT("B"&amp;ROW())/INDIRECT("F"&amp;ROW())))</f>
        <v>792.39200000000005</v>
      </c>
      <c r="Z26" s="215">
        <f ca="1">IF(OR(INDIRECT("A"&amp;ROW())="",YEAR($D26)+$F26&lt;INDIRECT(CHAR(COLUMN()+64)&amp;1)),"",IF(YEAR($D26)+$F26=INDIRECT(CHAR(COLUMN()+64)&amp;1),$B26-SUM($V26:INDIRECT(ADDRESS(ROW(),COLUMN()-1,4))),INDIRECT("B"&amp;ROW())/INDIRECT("F"&amp;ROW())))</f>
        <v>792.39200000000005</v>
      </c>
      <c r="AA26" s="215" t="e">
        <f ca="1">IF(OR(INDIRECT("A"&amp;ROW())="",YEAR($D26)+$F26&lt;INDIRECT(CHAR(COLUMN()+64)&amp;1)),"",IF(YEAR($D26)+$F26=INDIRECT(CHAR(COLUMN()+64)&amp;1),$B26-SUM($V26:INDIRECT(ADDRESS(ROW(),COLUMN()-1,4))),INDIRECT("B"&amp;ROW())/INDIRECT("F"&amp;ROW())))</f>
        <v>#REF!</v>
      </c>
      <c r="AB26" s="215"/>
      <c r="AC26" s="215"/>
      <c r="AD26" s="215"/>
      <c r="AE26" s="215"/>
      <c r="AF26" s="215"/>
      <c r="AG26" s="215"/>
      <c r="AH26" s="124">
        <f>IF(I26=0,0,K26+V26)</f>
        <v>0</v>
      </c>
      <c r="AI26" s="124">
        <f t="shared" si="10"/>
        <v>596.49508888888897</v>
      </c>
      <c r="AJ26" s="57">
        <f t="shared" si="11"/>
        <v>7327.4249111111112</v>
      </c>
    </row>
    <row r="27" spans="1:36" x14ac:dyDescent="0.25">
      <c r="A27" s="64"/>
      <c r="B27" s="101"/>
      <c r="C27" s="101"/>
      <c r="D27" s="114"/>
      <c r="E27" s="86"/>
      <c r="F27" s="36"/>
      <c r="G27" s="92"/>
      <c r="H27" s="34"/>
      <c r="I27" s="125"/>
      <c r="J27" s="35"/>
      <c r="K27" s="125"/>
      <c r="L27" s="35"/>
      <c r="M27" s="125"/>
      <c r="N27" s="35"/>
      <c r="O27" s="125"/>
      <c r="P27" s="35"/>
      <c r="Q27" s="125"/>
      <c r="R27" s="35"/>
      <c r="S27" s="125"/>
      <c r="T27" s="35"/>
      <c r="U27" s="125"/>
      <c r="V27" s="35"/>
      <c r="W27" s="125"/>
      <c r="X27" s="35"/>
      <c r="Y27" s="125"/>
      <c r="Z27" s="35"/>
      <c r="AA27" s="159"/>
      <c r="AB27" s="125"/>
      <c r="AC27" s="125"/>
      <c r="AD27" s="35"/>
      <c r="AE27" s="125"/>
      <c r="AF27" s="35"/>
      <c r="AG27" s="125"/>
      <c r="AH27" s="125"/>
      <c r="AI27" s="125"/>
      <c r="AJ27" s="73"/>
    </row>
    <row r="28" spans="1:36" x14ac:dyDescent="0.25">
      <c r="A28" s="68"/>
      <c r="B28" s="99">
        <f>SUM(B26:B27)</f>
        <v>7923.92</v>
      </c>
      <c r="C28" s="99">
        <f>SUM(C26:C27)</f>
        <v>0</v>
      </c>
      <c r="D28" s="115"/>
      <c r="E28" s="78"/>
      <c r="F28" s="51"/>
      <c r="G28" s="87"/>
      <c r="H28" s="60">
        <f>SUM(H26:H27)</f>
        <v>7923.92</v>
      </c>
      <c r="I28" s="127">
        <f t="shared" ref="I28:J28" si="17">SUM(I26:I27)</f>
        <v>0</v>
      </c>
      <c r="J28" s="60">
        <f t="shared" si="17"/>
        <v>7923.92</v>
      </c>
      <c r="K28" s="127">
        <f>SUM(K26:K27)</f>
        <v>0</v>
      </c>
      <c r="L28" s="60">
        <f t="shared" ref="L28:AG28" si="18">SUM(L26:L27)</f>
        <v>0</v>
      </c>
      <c r="M28" s="127">
        <f t="shared" si="18"/>
        <v>0</v>
      </c>
      <c r="N28" s="60">
        <f t="shared" si="18"/>
        <v>0</v>
      </c>
      <c r="O28" s="127">
        <f t="shared" si="18"/>
        <v>0</v>
      </c>
      <c r="P28" s="60">
        <f t="shared" si="18"/>
        <v>0</v>
      </c>
      <c r="Q28" s="127">
        <f t="shared" si="18"/>
        <v>0</v>
      </c>
      <c r="R28" s="60">
        <f t="shared" si="18"/>
        <v>0</v>
      </c>
      <c r="S28" s="127">
        <f t="shared" si="18"/>
        <v>0</v>
      </c>
      <c r="T28" s="60">
        <f t="shared" si="18"/>
        <v>0</v>
      </c>
      <c r="U28" s="127">
        <f t="shared" si="18"/>
        <v>0</v>
      </c>
      <c r="V28" s="60">
        <f t="shared" si="18"/>
        <v>596.49508888888897</v>
      </c>
      <c r="W28" s="127">
        <f t="shared" ca="1" si="18"/>
        <v>792.39200000000005</v>
      </c>
      <c r="X28" s="60">
        <f t="shared" ca="1" si="18"/>
        <v>792.39200000000005</v>
      </c>
      <c r="Y28" s="127">
        <f t="shared" ca="1" si="18"/>
        <v>792.39200000000005</v>
      </c>
      <c r="Z28" s="60">
        <f t="shared" ca="1" si="18"/>
        <v>792.39200000000005</v>
      </c>
      <c r="AA28" s="160" t="e">
        <f t="shared" ca="1" si="18"/>
        <v>#REF!</v>
      </c>
      <c r="AB28" s="127">
        <f t="shared" si="18"/>
        <v>0</v>
      </c>
      <c r="AC28" s="127">
        <f t="shared" si="18"/>
        <v>0</v>
      </c>
      <c r="AD28" s="60">
        <f t="shared" si="18"/>
        <v>0</v>
      </c>
      <c r="AE28" s="127">
        <f t="shared" si="18"/>
        <v>0</v>
      </c>
      <c r="AF28" s="60">
        <f t="shared" si="18"/>
        <v>0</v>
      </c>
      <c r="AG28" s="127">
        <f t="shared" si="18"/>
        <v>0</v>
      </c>
      <c r="AH28" s="127">
        <f>SUM(AH10:AH26)</f>
        <v>0</v>
      </c>
      <c r="AI28" s="127">
        <f>SUM(AI9:AI27)</f>
        <v>73316.133961111103</v>
      </c>
      <c r="AJ28" s="128">
        <f>SUM(AJ9:AJ27)</f>
        <v>91680.706038888893</v>
      </c>
    </row>
    <row r="29" spans="1:36" x14ac:dyDescent="0.25">
      <c r="A29" s="156" t="s">
        <v>143</v>
      </c>
      <c r="B29" s="99"/>
      <c r="C29" s="99"/>
      <c r="D29" s="115"/>
      <c r="E29" s="78"/>
      <c r="F29" s="51"/>
      <c r="G29" s="87"/>
      <c r="H29" s="52"/>
      <c r="I29" s="124"/>
      <c r="J29" s="55"/>
      <c r="K29" s="124"/>
      <c r="L29" s="55"/>
      <c r="M29" s="124"/>
      <c r="N29" s="55"/>
      <c r="O29" s="124"/>
      <c r="P29" s="55"/>
      <c r="Q29" s="124"/>
      <c r="R29" s="55"/>
      <c r="S29" s="124"/>
      <c r="T29" s="55"/>
      <c r="U29" s="124"/>
      <c r="V29" s="55"/>
      <c r="W29" s="124"/>
      <c r="X29" s="55"/>
      <c r="Y29" s="124"/>
      <c r="Z29" s="55"/>
      <c r="AA29" s="158"/>
      <c r="AB29" s="124"/>
      <c r="AC29" s="124"/>
      <c r="AD29" s="55"/>
      <c r="AE29" s="124"/>
      <c r="AF29" s="55"/>
      <c r="AG29" s="124"/>
      <c r="AH29" s="124"/>
      <c r="AI29" s="124"/>
      <c r="AJ29" s="57"/>
    </row>
    <row r="30" spans="1:36" hidden="1" x14ac:dyDescent="0.25">
      <c r="A30" s="54" t="s">
        <v>36</v>
      </c>
      <c r="B30" s="94">
        <f>'repise immo'!B62</f>
        <v>86718.450000000012</v>
      </c>
      <c r="C30" s="94">
        <f>B30</f>
        <v>86718.450000000012</v>
      </c>
      <c r="D30" s="115"/>
      <c r="E30" s="78"/>
      <c r="F30" s="51"/>
      <c r="G30" s="87"/>
      <c r="H30" s="52"/>
      <c r="I30" s="124"/>
      <c r="J30" s="55">
        <f>B30</f>
        <v>86718.450000000012</v>
      </c>
      <c r="K30" s="124">
        <f>J30</f>
        <v>86718.450000000012</v>
      </c>
      <c r="L30" s="55"/>
      <c r="M30" s="124"/>
      <c r="N30" s="55"/>
      <c r="O30" s="124"/>
      <c r="P30" s="55"/>
      <c r="Q30" s="124"/>
      <c r="R30" s="55"/>
      <c r="S30" s="124"/>
      <c r="T30" s="55">
        <v>24.8</v>
      </c>
      <c r="U30" s="124"/>
      <c r="V30" s="55"/>
      <c r="W30" s="124"/>
      <c r="X30" s="55"/>
      <c r="Y30" s="124"/>
      <c r="Z30" s="55"/>
      <c r="AA30" s="158"/>
      <c r="AB30" s="124"/>
      <c r="AC30" s="124"/>
      <c r="AD30" s="55"/>
      <c r="AE30" s="124"/>
      <c r="AF30" s="55"/>
      <c r="AG30" s="124"/>
      <c r="AH30" s="124"/>
      <c r="AI30" s="124">
        <f>B30</f>
        <v>86718.450000000012</v>
      </c>
      <c r="AJ30" s="57"/>
    </row>
    <row r="31" spans="1:36" ht="15.75" hidden="1" x14ac:dyDescent="0.25">
      <c r="A31" s="70" t="s">
        <v>9</v>
      </c>
      <c r="B31" s="99">
        <v>2449.41</v>
      </c>
      <c r="C31" s="99">
        <v>2449.41</v>
      </c>
      <c r="D31" s="109">
        <v>40011</v>
      </c>
      <c r="E31" s="81" t="s">
        <v>6</v>
      </c>
      <c r="F31" s="3">
        <v>10</v>
      </c>
      <c r="G31" s="88">
        <v>0.1</v>
      </c>
      <c r="H31" s="55">
        <f t="shared" ref="H31:H47" si="19">IF(YEAR(D31)=2017,B31,0)</f>
        <v>0</v>
      </c>
      <c r="I31" s="124">
        <f t="shared" ref="I31:I38" si="20">IF(V31="",B31,0)</f>
        <v>0</v>
      </c>
      <c r="J31" s="55">
        <f t="shared" ref="J31:J47" si="21">B31-I31</f>
        <v>2449.41</v>
      </c>
      <c r="K31" s="124">
        <f>SUM(L31:T31)</f>
        <v>1826.8400000000001</v>
      </c>
      <c r="L31" s="55"/>
      <c r="M31" s="124">
        <v>112.26</v>
      </c>
      <c r="N31" s="55">
        <v>244.94</v>
      </c>
      <c r="O31" s="124">
        <v>244.94</v>
      </c>
      <c r="P31" s="55">
        <v>244.94</v>
      </c>
      <c r="Q31" s="124">
        <v>244.94</v>
      </c>
      <c r="R31" s="55">
        <v>244.94</v>
      </c>
      <c r="S31" s="124">
        <v>244.94</v>
      </c>
      <c r="T31" s="55">
        <v>244.94</v>
      </c>
      <c r="U31" s="124">
        <f>(B31/F31/$F$2*165-M31)</f>
        <v>4.6249999999901092E-3</v>
      </c>
      <c r="V31" s="55">
        <f>(B31/F31)-U31</f>
        <v>244.936375</v>
      </c>
      <c r="W31" s="124">
        <v>244.94</v>
      </c>
      <c r="X31" s="55">
        <v>132.69</v>
      </c>
      <c r="Y31" s="124"/>
      <c r="Z31" s="215" t="str">
        <f ca="1">IF(OR(INDIRECT("A"&amp;ROW())="",YEAR($D31)+$F31&lt;INDIRECT(CHAR(COLUMN()+64)&amp;1)),"",IF(YEAR($D31)+$F31=INDIRECT(CHAR(COLUMN()+64)&amp;1),$B31-SUM($V31:INDIRECT(ADDRESS(ROW(),COLUMN()-1,4))),INDIRECT("B"&amp;ROW())/INDIRECT("F"&amp;ROW())))</f>
        <v/>
      </c>
      <c r="AA31" s="158"/>
      <c r="AB31" s="124"/>
      <c r="AC31" s="124"/>
      <c r="AD31" s="55"/>
      <c r="AE31" s="124"/>
      <c r="AF31" s="55"/>
      <c r="AG31" s="124"/>
      <c r="AH31" s="124">
        <f>IF(I31=0,0,K31+V31)</f>
        <v>0</v>
      </c>
      <c r="AI31" s="124">
        <f>IF(J31=0,0,K31+V31)</f>
        <v>2071.7763750000004</v>
      </c>
      <c r="AJ31" s="57">
        <f t="shared" ref="AJ31:AJ47" si="22">B31-K31-V31</f>
        <v>377.63362499999971</v>
      </c>
    </row>
    <row r="32" spans="1:36" hidden="1" x14ac:dyDescent="0.25">
      <c r="A32" s="64" t="s">
        <v>14</v>
      </c>
      <c r="B32" s="99">
        <v>926.9</v>
      </c>
      <c r="C32" s="99">
        <v>926.9</v>
      </c>
      <c r="D32" s="108">
        <v>40487</v>
      </c>
      <c r="E32" s="81" t="s">
        <v>6</v>
      </c>
      <c r="F32" s="3">
        <v>10</v>
      </c>
      <c r="G32" s="88">
        <v>0.1</v>
      </c>
      <c r="H32" s="55">
        <f t="shared" si="19"/>
        <v>0</v>
      </c>
      <c r="I32" s="124">
        <f t="shared" si="20"/>
        <v>0</v>
      </c>
      <c r="J32" s="55">
        <f t="shared" si="21"/>
        <v>926.9</v>
      </c>
      <c r="K32" s="124">
        <f t="shared" ref="K32:K47" si="23">SUM(L32:T32)</f>
        <v>568.76</v>
      </c>
      <c r="L32" s="55"/>
      <c r="M32" s="124"/>
      <c r="N32" s="55">
        <v>12.62</v>
      </c>
      <c r="O32" s="124">
        <v>92.69</v>
      </c>
      <c r="P32" s="55">
        <v>92.69</v>
      </c>
      <c r="Q32" s="124">
        <v>92.69</v>
      </c>
      <c r="R32" s="55">
        <v>92.69</v>
      </c>
      <c r="S32" s="124">
        <v>92.69</v>
      </c>
      <c r="T32" s="55">
        <v>92.69</v>
      </c>
      <c r="U32" s="124">
        <f>(B32/F32/$F$2*56-N32)</f>
        <v>1.7984444444444438</v>
      </c>
      <c r="V32" s="55">
        <f>(B32/F32)+U32</f>
        <v>94.48844444444444</v>
      </c>
      <c r="W32" s="124">
        <v>92.69</v>
      </c>
      <c r="X32" s="55">
        <v>92.69</v>
      </c>
      <c r="Y32" s="124">
        <v>78.27</v>
      </c>
      <c r="Z32" s="55"/>
      <c r="AA32" s="158"/>
      <c r="AB32" s="124"/>
      <c r="AC32" s="124"/>
      <c r="AD32" s="55"/>
      <c r="AE32" s="124"/>
      <c r="AF32" s="55"/>
      <c r="AG32" s="124"/>
      <c r="AH32" s="124">
        <f t="shared" ref="AH32:AH34" si="24">IF(I32=0,0,K32+V32)</f>
        <v>0</v>
      </c>
      <c r="AI32" s="124">
        <f t="shared" ref="AI32:AI47" si="25">IF(J32=0,0,K32+V32)</f>
        <v>663.24844444444443</v>
      </c>
      <c r="AJ32" s="57">
        <f t="shared" si="22"/>
        <v>263.65155555555555</v>
      </c>
    </row>
    <row r="33" spans="1:36" hidden="1" x14ac:dyDescent="0.25">
      <c r="A33" s="64" t="s">
        <v>10</v>
      </c>
      <c r="B33" s="99">
        <v>997.45</v>
      </c>
      <c r="C33" s="99">
        <v>997.45</v>
      </c>
      <c r="D33" s="109">
        <v>40347</v>
      </c>
      <c r="E33" s="81" t="s">
        <v>6</v>
      </c>
      <c r="F33" s="3">
        <v>10</v>
      </c>
      <c r="G33" s="88">
        <v>0.1</v>
      </c>
      <c r="H33" s="55">
        <f t="shared" si="19"/>
        <v>0</v>
      </c>
      <c r="I33" s="124">
        <f t="shared" si="20"/>
        <v>0</v>
      </c>
      <c r="J33" s="55">
        <f t="shared" si="21"/>
        <v>997.45</v>
      </c>
      <c r="K33" s="124">
        <f t="shared" si="23"/>
        <v>651.68000000000006</v>
      </c>
      <c r="L33" s="55"/>
      <c r="M33" s="124"/>
      <c r="N33" s="55">
        <v>53.18</v>
      </c>
      <c r="O33" s="124">
        <v>99.75</v>
      </c>
      <c r="P33" s="55">
        <v>99.75</v>
      </c>
      <c r="Q33" s="124">
        <v>99.75</v>
      </c>
      <c r="R33" s="55">
        <v>99.75</v>
      </c>
      <c r="S33" s="124">
        <v>99.75</v>
      </c>
      <c r="T33" s="55">
        <v>99.75</v>
      </c>
      <c r="U33" s="124">
        <f>(B33/F33/$F$2*193-N33)</f>
        <v>0.29440277777778334</v>
      </c>
      <c r="V33" s="55">
        <f>(B33/F33)+U33</f>
        <v>100.03940277777778</v>
      </c>
      <c r="W33" s="124">
        <v>99.73</v>
      </c>
      <c r="X33" s="55">
        <v>99.75</v>
      </c>
      <c r="Y33" s="124">
        <v>46.25</v>
      </c>
      <c r="Z33" s="55"/>
      <c r="AA33" s="158"/>
      <c r="AB33" s="124"/>
      <c r="AC33" s="124"/>
      <c r="AD33" s="55"/>
      <c r="AE33" s="124"/>
      <c r="AF33" s="55"/>
      <c r="AG33" s="124"/>
      <c r="AH33" s="124">
        <f t="shared" si="24"/>
        <v>0</v>
      </c>
      <c r="AI33" s="124">
        <f t="shared" si="25"/>
        <v>751.71940277777787</v>
      </c>
      <c r="AJ33" s="57">
        <f t="shared" si="22"/>
        <v>245.7305972222222</v>
      </c>
    </row>
    <row r="34" spans="1:36" hidden="1" x14ac:dyDescent="0.25">
      <c r="A34" s="56" t="s">
        <v>17</v>
      </c>
      <c r="B34" s="99">
        <v>1128</v>
      </c>
      <c r="C34" s="99">
        <v>1128</v>
      </c>
      <c r="D34" s="108">
        <v>42072</v>
      </c>
      <c r="E34" s="79" t="s">
        <v>6</v>
      </c>
      <c r="F34" s="3">
        <v>3</v>
      </c>
      <c r="G34" s="88">
        <v>0.33329999999999999</v>
      </c>
      <c r="H34" s="55">
        <f t="shared" si="19"/>
        <v>0</v>
      </c>
      <c r="I34" s="124">
        <f t="shared" si="20"/>
        <v>0</v>
      </c>
      <c r="J34" s="55">
        <f t="shared" si="21"/>
        <v>1128</v>
      </c>
      <c r="K34" s="124">
        <f t="shared" si="23"/>
        <v>689.32999999999993</v>
      </c>
      <c r="L34" s="55"/>
      <c r="M34" s="124"/>
      <c r="N34" s="55"/>
      <c r="O34" s="124"/>
      <c r="P34" s="55"/>
      <c r="Q34" s="124"/>
      <c r="R34" s="55"/>
      <c r="S34" s="124">
        <v>313.33</v>
      </c>
      <c r="T34" s="55">
        <v>376</v>
      </c>
      <c r="U34" s="124">
        <f>(B34/F34/$F$2*292-S34)</f>
        <v>-8.3522222222221671</v>
      </c>
      <c r="V34" s="55">
        <f>(B34/F34)+U34</f>
        <v>367.64777777777783</v>
      </c>
      <c r="W34" s="124">
        <f>AJ34</f>
        <v>71.02222222222224</v>
      </c>
      <c r="X34" s="55"/>
      <c r="Y34" s="124"/>
      <c r="Z34" s="55"/>
      <c r="AA34" s="158"/>
      <c r="AB34" s="124"/>
      <c r="AC34" s="124"/>
      <c r="AD34" s="55"/>
      <c r="AE34" s="124"/>
      <c r="AF34" s="55"/>
      <c r="AG34" s="124"/>
      <c r="AH34" s="124">
        <f t="shared" si="24"/>
        <v>0</v>
      </c>
      <c r="AI34" s="124">
        <f t="shared" si="25"/>
        <v>1056.9777777777776</v>
      </c>
      <c r="AJ34" s="57">
        <f t="shared" si="22"/>
        <v>71.02222222222224</v>
      </c>
    </row>
    <row r="35" spans="1:36" hidden="1" x14ac:dyDescent="0.25">
      <c r="A35" s="71" t="s">
        <v>19</v>
      </c>
      <c r="B35" s="100">
        <v>912.24</v>
      </c>
      <c r="C35" s="100">
        <v>912.24</v>
      </c>
      <c r="D35" s="112">
        <v>42265</v>
      </c>
      <c r="E35" s="85" t="s">
        <v>6</v>
      </c>
      <c r="F35" s="37">
        <v>3</v>
      </c>
      <c r="G35" s="93">
        <v>0.33329999999999999</v>
      </c>
      <c r="H35" s="38">
        <f t="shared" si="19"/>
        <v>0</v>
      </c>
      <c r="I35" s="126">
        <f t="shared" si="20"/>
        <v>912.24</v>
      </c>
      <c r="J35" s="38">
        <f t="shared" si="21"/>
        <v>0</v>
      </c>
      <c r="K35" s="126">
        <f t="shared" si="23"/>
        <v>392.77</v>
      </c>
      <c r="L35" s="38"/>
      <c r="M35" s="126"/>
      <c r="N35" s="38"/>
      <c r="O35" s="126"/>
      <c r="P35" s="38"/>
      <c r="Q35" s="126"/>
      <c r="R35" s="38"/>
      <c r="S35" s="126">
        <v>88.69</v>
      </c>
      <c r="T35" s="38">
        <v>304.08</v>
      </c>
      <c r="U35" s="126"/>
      <c r="V35" s="38"/>
      <c r="W35" s="126"/>
      <c r="X35" s="38"/>
      <c r="Y35" s="126"/>
      <c r="Z35" s="38"/>
      <c r="AA35" s="161"/>
      <c r="AB35" s="126"/>
      <c r="AC35" s="126"/>
      <c r="AD35" s="38"/>
      <c r="AE35" s="126"/>
      <c r="AF35" s="38"/>
      <c r="AG35" s="126"/>
      <c r="AH35" s="126">
        <f>IF(I35=0,0,K35+V35)</f>
        <v>392.77</v>
      </c>
      <c r="AI35" s="126">
        <f t="shared" si="25"/>
        <v>0</v>
      </c>
      <c r="AJ35" s="129">
        <f t="shared" si="22"/>
        <v>519.47</v>
      </c>
    </row>
    <row r="36" spans="1:36" hidden="1" x14ac:dyDescent="0.25">
      <c r="A36" s="72" t="s">
        <v>20</v>
      </c>
      <c r="B36" s="99">
        <v>594.41</v>
      </c>
      <c r="C36" s="99">
        <v>594.41</v>
      </c>
      <c r="D36" s="109">
        <v>42265</v>
      </c>
      <c r="E36" s="78" t="s">
        <v>6</v>
      </c>
      <c r="F36" s="51">
        <v>3</v>
      </c>
      <c r="G36" s="88">
        <v>0.33329999999999999</v>
      </c>
      <c r="H36" s="55">
        <f t="shared" si="19"/>
        <v>0</v>
      </c>
      <c r="I36" s="124">
        <f>IF(V36="",B36,0)</f>
        <v>0</v>
      </c>
      <c r="J36" s="55">
        <f t="shared" si="21"/>
        <v>594.41</v>
      </c>
      <c r="K36" s="124">
        <f t="shared" si="23"/>
        <v>255.92999999999998</v>
      </c>
      <c r="L36" s="55"/>
      <c r="M36" s="124"/>
      <c r="N36" s="55"/>
      <c r="O36" s="124"/>
      <c r="P36" s="55"/>
      <c r="Q36" s="124"/>
      <c r="R36" s="55"/>
      <c r="S36" s="124">
        <v>57.79</v>
      </c>
      <c r="T36" s="55">
        <v>198.14</v>
      </c>
      <c r="U36" s="124">
        <f>(B36/F36/$F$2*103-S36)</f>
        <v>-1.100898148148147</v>
      </c>
      <c r="V36" s="55">
        <f>(B36/F36)+U36</f>
        <v>197.03576851851852</v>
      </c>
      <c r="W36" s="124">
        <v>141.44</v>
      </c>
      <c r="X36" s="55"/>
      <c r="Y36" s="124"/>
      <c r="Z36" s="55"/>
      <c r="AA36" s="158"/>
      <c r="AB36" s="124"/>
      <c r="AC36" s="124"/>
      <c r="AD36" s="55"/>
      <c r="AE36" s="124"/>
      <c r="AF36" s="55"/>
      <c r="AG36" s="124"/>
      <c r="AH36" s="124">
        <f>IF(I36=0,0,K36+V36)</f>
        <v>0</v>
      </c>
      <c r="AI36" s="124">
        <f>IF(J36=0,0,K36+V36)</f>
        <v>452.96576851851853</v>
      </c>
      <c r="AJ36" s="57">
        <f t="shared" si="22"/>
        <v>141.44423148148149</v>
      </c>
    </row>
    <row r="37" spans="1:36" hidden="1" x14ac:dyDescent="0.25">
      <c r="A37" s="71" t="s">
        <v>22</v>
      </c>
      <c r="B37" s="102">
        <v>1344</v>
      </c>
      <c r="C37" s="102">
        <v>1344</v>
      </c>
      <c r="D37" s="116">
        <v>42450</v>
      </c>
      <c r="E37" s="85" t="s">
        <v>6</v>
      </c>
      <c r="F37" s="37">
        <v>3</v>
      </c>
      <c r="G37" s="93">
        <v>0.33329999999999999</v>
      </c>
      <c r="H37" s="38">
        <f t="shared" si="19"/>
        <v>0</v>
      </c>
      <c r="I37" s="126">
        <v>1344</v>
      </c>
      <c r="J37" s="38">
        <f t="shared" si="21"/>
        <v>0</v>
      </c>
      <c r="K37" s="126">
        <f t="shared" si="23"/>
        <v>335.99</v>
      </c>
      <c r="L37" s="38"/>
      <c r="M37" s="126"/>
      <c r="N37" s="38"/>
      <c r="O37" s="126"/>
      <c r="P37" s="38"/>
      <c r="Q37" s="126"/>
      <c r="R37" s="38"/>
      <c r="S37" s="126"/>
      <c r="T37" s="38">
        <v>335.99</v>
      </c>
      <c r="U37" s="126"/>
      <c r="V37" s="38">
        <v>13.7</v>
      </c>
      <c r="W37" s="126"/>
      <c r="X37" s="38"/>
      <c r="Y37" s="126"/>
      <c r="Z37" s="38"/>
      <c r="AA37" s="161"/>
      <c r="AB37" s="126"/>
      <c r="AC37" s="126"/>
      <c r="AD37" s="38"/>
      <c r="AE37" s="126"/>
      <c r="AF37" s="38"/>
      <c r="AG37" s="126"/>
      <c r="AH37" s="126">
        <f>IF(I37=0,0,K37+V37)</f>
        <v>349.69</v>
      </c>
      <c r="AI37" s="126">
        <f t="shared" si="25"/>
        <v>0</v>
      </c>
      <c r="AJ37" s="129">
        <f t="shared" si="22"/>
        <v>994.31</v>
      </c>
    </row>
    <row r="38" spans="1:36" hidden="1" x14ac:dyDescent="0.25">
      <c r="A38" s="71" t="s">
        <v>132</v>
      </c>
      <c r="B38" s="102">
        <v>279.31</v>
      </c>
      <c r="C38" s="102">
        <v>279.31</v>
      </c>
      <c r="D38" s="116">
        <v>42450</v>
      </c>
      <c r="E38" s="85" t="s">
        <v>6</v>
      </c>
      <c r="F38" s="37">
        <v>3</v>
      </c>
      <c r="G38" s="93">
        <v>0.33329999999999999</v>
      </c>
      <c r="H38" s="38">
        <f t="shared" si="19"/>
        <v>0</v>
      </c>
      <c r="I38" s="126">
        <f t="shared" si="20"/>
        <v>0</v>
      </c>
      <c r="J38" s="38">
        <f t="shared" si="21"/>
        <v>279.31</v>
      </c>
      <c r="K38" s="126">
        <f t="shared" si="23"/>
        <v>69.83</v>
      </c>
      <c r="L38" s="38"/>
      <c r="M38" s="126"/>
      <c r="N38" s="38"/>
      <c r="O38" s="126"/>
      <c r="P38" s="38"/>
      <c r="Q38" s="126"/>
      <c r="R38" s="38"/>
      <c r="S38" s="126"/>
      <c r="T38" s="38">
        <v>69.83</v>
      </c>
      <c r="U38" s="126">
        <f>(B38/F38/$F$2*280-T38)</f>
        <v>2.5837037037037049</v>
      </c>
      <c r="V38" s="38">
        <f>(B38/F38)+U38</f>
        <v>95.687037037037044</v>
      </c>
      <c r="W38" s="126">
        <f>$B$38/$F$38</f>
        <v>93.103333333333339</v>
      </c>
      <c r="X38" s="38">
        <f>20.69</f>
        <v>20.69</v>
      </c>
      <c r="Y38" s="126"/>
      <c r="Z38" s="38"/>
      <c r="AA38" s="161"/>
      <c r="AB38" s="126"/>
      <c r="AC38" s="126"/>
      <c r="AD38" s="38"/>
      <c r="AE38" s="126"/>
      <c r="AF38" s="38"/>
      <c r="AG38" s="126"/>
      <c r="AH38" s="126">
        <f t="shared" ref="AH38:AH47" si="26">IF(I38=0,0,K38+V38)</f>
        <v>0</v>
      </c>
      <c r="AI38" s="126">
        <f t="shared" si="25"/>
        <v>165.51703703703703</v>
      </c>
      <c r="AJ38" s="129">
        <f t="shared" si="22"/>
        <v>113.79296296296297</v>
      </c>
    </row>
    <row r="39" spans="1:36" hidden="1" x14ac:dyDescent="0.25">
      <c r="A39" s="67" t="s">
        <v>23</v>
      </c>
      <c r="B39" s="102">
        <v>486</v>
      </c>
      <c r="C39" s="102">
        <v>486</v>
      </c>
      <c r="D39" s="116">
        <v>42450</v>
      </c>
      <c r="E39" s="85" t="s">
        <v>6</v>
      </c>
      <c r="F39" s="37">
        <v>3</v>
      </c>
      <c r="G39" s="91">
        <v>0.33329999999999999</v>
      </c>
      <c r="H39" s="38">
        <f t="shared" si="19"/>
        <v>0</v>
      </c>
      <c r="I39" s="126">
        <f t="shared" ref="I39:I47" si="27">IF(V39="",B39,0)</f>
        <v>0</v>
      </c>
      <c r="J39" s="38">
        <f t="shared" si="21"/>
        <v>486</v>
      </c>
      <c r="K39" s="126">
        <f t="shared" si="23"/>
        <v>121.5</v>
      </c>
      <c r="L39" s="38"/>
      <c r="M39" s="126"/>
      <c r="N39" s="38"/>
      <c r="O39" s="126"/>
      <c r="P39" s="38"/>
      <c r="Q39" s="126"/>
      <c r="R39" s="38"/>
      <c r="S39" s="126"/>
      <c r="T39" s="38">
        <v>121.5</v>
      </c>
      <c r="U39" s="126">
        <f>(B39/F39/$F$2*280-T39)</f>
        <v>4.5</v>
      </c>
      <c r="V39" s="38">
        <f t="shared" ref="V39" si="28">(B39/F39)+U39</f>
        <v>166.5</v>
      </c>
      <c r="W39" s="126">
        <v>162</v>
      </c>
      <c r="X39" s="38">
        <v>36</v>
      </c>
      <c r="Y39" s="126"/>
      <c r="Z39" s="38"/>
      <c r="AA39" s="161"/>
      <c r="AB39" s="126"/>
      <c r="AC39" s="126"/>
      <c r="AD39" s="38"/>
      <c r="AE39" s="126"/>
      <c r="AF39" s="38"/>
      <c r="AG39" s="126"/>
      <c r="AH39" s="126">
        <f t="shared" si="26"/>
        <v>0</v>
      </c>
      <c r="AI39" s="126">
        <f t="shared" si="25"/>
        <v>288</v>
      </c>
      <c r="AJ39" s="129">
        <f t="shared" si="22"/>
        <v>198</v>
      </c>
    </row>
    <row r="40" spans="1:36" hidden="1" x14ac:dyDescent="0.25">
      <c r="A40" s="58" t="s">
        <v>25</v>
      </c>
      <c r="B40" s="103">
        <v>384</v>
      </c>
      <c r="C40" s="103">
        <v>384</v>
      </c>
      <c r="D40" s="109">
        <v>42521</v>
      </c>
      <c r="E40" s="78" t="s">
        <v>6</v>
      </c>
      <c r="F40" s="51">
        <v>3</v>
      </c>
      <c r="G40" s="87">
        <v>0.33329999999999999</v>
      </c>
      <c r="H40" s="55">
        <f t="shared" si="19"/>
        <v>0</v>
      </c>
      <c r="I40" s="124">
        <f t="shared" si="27"/>
        <v>0</v>
      </c>
      <c r="J40" s="55">
        <f t="shared" si="21"/>
        <v>384</v>
      </c>
      <c r="K40" s="124">
        <f t="shared" si="23"/>
        <v>75</v>
      </c>
      <c r="L40" s="55"/>
      <c r="M40" s="124"/>
      <c r="N40" s="55"/>
      <c r="O40" s="124"/>
      <c r="P40" s="55"/>
      <c r="Q40" s="124"/>
      <c r="R40" s="55"/>
      <c r="S40" s="124"/>
      <c r="T40" s="55">
        <v>75</v>
      </c>
      <c r="U40" s="124">
        <f>(B40/F40/$F$2*211-T40)</f>
        <v>2.2222222222225696E-2</v>
      </c>
      <c r="V40" s="55">
        <f>(B40/F40)+U40</f>
        <v>128.02222222222224</v>
      </c>
      <c r="W40" s="124">
        <v>128</v>
      </c>
      <c r="X40" s="55">
        <v>52.98</v>
      </c>
      <c r="Y40" s="124"/>
      <c r="Z40" s="55"/>
      <c r="AA40" s="158"/>
      <c r="AB40" s="124"/>
      <c r="AC40" s="124"/>
      <c r="AD40" s="55"/>
      <c r="AE40" s="124"/>
      <c r="AF40" s="55"/>
      <c r="AG40" s="124"/>
      <c r="AH40" s="124">
        <f t="shared" si="26"/>
        <v>0</v>
      </c>
      <c r="AI40" s="124">
        <f t="shared" si="25"/>
        <v>203.02222222222224</v>
      </c>
      <c r="AJ40" s="57">
        <f t="shared" si="22"/>
        <v>180.97777777777776</v>
      </c>
    </row>
    <row r="41" spans="1:36" hidden="1" x14ac:dyDescent="0.25">
      <c r="A41" s="58" t="s">
        <v>27</v>
      </c>
      <c r="B41" s="103">
        <v>690</v>
      </c>
      <c r="C41" s="103">
        <v>690</v>
      </c>
      <c r="D41" s="113">
        <v>42613</v>
      </c>
      <c r="E41" s="78" t="s">
        <v>6</v>
      </c>
      <c r="F41" s="51">
        <v>3</v>
      </c>
      <c r="G41" s="87">
        <v>0.33329999999999999</v>
      </c>
      <c r="H41" s="55">
        <f t="shared" si="19"/>
        <v>0</v>
      </c>
      <c r="I41" s="124">
        <f t="shared" si="27"/>
        <v>0</v>
      </c>
      <c r="J41" s="55">
        <f t="shared" si="21"/>
        <v>690</v>
      </c>
      <c r="K41" s="124">
        <f t="shared" si="23"/>
        <v>77</v>
      </c>
      <c r="L41" s="55"/>
      <c r="M41" s="124"/>
      <c r="N41" s="55"/>
      <c r="O41" s="124"/>
      <c r="P41" s="55"/>
      <c r="Q41" s="124"/>
      <c r="R41" s="55"/>
      <c r="S41" s="124"/>
      <c r="T41" s="55">
        <v>77</v>
      </c>
      <c r="U41" s="124">
        <f>(B41/F41/$F$2*121-T41)</f>
        <v>0.30555555555554292</v>
      </c>
      <c r="V41" s="55">
        <f>(B41/F41)+U41</f>
        <v>230.30555555555554</v>
      </c>
      <c r="W41" s="124">
        <v>230</v>
      </c>
      <c r="X41" s="55">
        <v>152.69</v>
      </c>
      <c r="Y41" s="124"/>
      <c r="Z41" s="55"/>
      <c r="AA41" s="158"/>
      <c r="AB41" s="124"/>
      <c r="AC41" s="124"/>
      <c r="AD41" s="55"/>
      <c r="AE41" s="124"/>
      <c r="AF41" s="55"/>
      <c r="AG41" s="124"/>
      <c r="AH41" s="124">
        <f t="shared" si="26"/>
        <v>0</v>
      </c>
      <c r="AI41" s="124">
        <f t="shared" si="25"/>
        <v>307.30555555555554</v>
      </c>
      <c r="AJ41" s="57">
        <f t="shared" si="22"/>
        <v>382.69444444444446</v>
      </c>
    </row>
    <row r="42" spans="1:36" hidden="1" x14ac:dyDescent="0.25">
      <c r="A42" s="58" t="s">
        <v>28</v>
      </c>
      <c r="B42" s="103">
        <v>390</v>
      </c>
      <c r="C42" s="103">
        <v>390</v>
      </c>
      <c r="D42" s="113">
        <v>42622</v>
      </c>
      <c r="E42" s="78" t="s">
        <v>6</v>
      </c>
      <c r="F42" s="51">
        <v>3</v>
      </c>
      <c r="G42" s="87">
        <v>0.33329999999999999</v>
      </c>
      <c r="H42" s="55">
        <f t="shared" si="19"/>
        <v>0</v>
      </c>
      <c r="I42" s="124">
        <f t="shared" si="27"/>
        <v>0</v>
      </c>
      <c r="J42" s="55">
        <f t="shared" si="21"/>
        <v>390</v>
      </c>
      <c r="K42" s="124">
        <f t="shared" si="23"/>
        <v>43.33</v>
      </c>
      <c r="L42" s="55"/>
      <c r="M42" s="124"/>
      <c r="N42" s="55"/>
      <c r="O42" s="124"/>
      <c r="P42" s="55"/>
      <c r="Q42" s="124"/>
      <c r="R42" s="55"/>
      <c r="S42" s="124"/>
      <c r="T42" s="55">
        <v>43.33</v>
      </c>
      <c r="U42" s="124">
        <f>(B42/F42/$F$2*112-T42)</f>
        <v>-2.8855555555555554</v>
      </c>
      <c r="V42" s="55">
        <f>(B42/F42)+U42</f>
        <v>127.11444444444444</v>
      </c>
      <c r="W42" s="124">
        <v>130</v>
      </c>
      <c r="X42" s="55">
        <v>89.56</v>
      </c>
      <c r="Y42" s="124"/>
      <c r="Z42" s="55"/>
      <c r="AA42" s="158"/>
      <c r="AB42" s="124"/>
      <c r="AC42" s="124"/>
      <c r="AD42" s="55"/>
      <c r="AE42" s="124"/>
      <c r="AF42" s="55"/>
      <c r="AG42" s="124"/>
      <c r="AH42" s="124">
        <f t="shared" si="26"/>
        <v>0</v>
      </c>
      <c r="AI42" s="124">
        <f t="shared" si="25"/>
        <v>170.44444444444446</v>
      </c>
      <c r="AJ42" s="57">
        <f t="shared" si="22"/>
        <v>219.55555555555557</v>
      </c>
    </row>
    <row r="43" spans="1:36" hidden="1" x14ac:dyDescent="0.25">
      <c r="A43" s="67" t="s">
        <v>29</v>
      </c>
      <c r="B43" s="104">
        <v>384</v>
      </c>
      <c r="C43" s="104">
        <v>384</v>
      </c>
      <c r="D43" s="117">
        <v>42664</v>
      </c>
      <c r="E43" s="85" t="s">
        <v>6</v>
      </c>
      <c r="F43" s="37">
        <v>3</v>
      </c>
      <c r="G43" s="91">
        <v>0.33329999999999999</v>
      </c>
      <c r="H43" s="38">
        <f>IF(YEAR(D43)=2017,B43,0)</f>
        <v>0</v>
      </c>
      <c r="I43" s="126">
        <f t="shared" si="27"/>
        <v>0</v>
      </c>
      <c r="J43" s="38">
        <f t="shared" si="21"/>
        <v>384</v>
      </c>
      <c r="K43" s="126">
        <f t="shared" si="23"/>
        <v>22</v>
      </c>
      <c r="L43" s="38"/>
      <c r="M43" s="126"/>
      <c r="N43" s="38"/>
      <c r="O43" s="126"/>
      <c r="P43" s="38"/>
      <c r="Q43" s="126"/>
      <c r="R43" s="38"/>
      <c r="S43" s="126"/>
      <c r="T43" s="38">
        <v>22</v>
      </c>
      <c r="U43" s="126">
        <f>(B43/F43/$F$2*70-T43)</f>
        <v>2.8888888888888893</v>
      </c>
      <c r="V43" s="38">
        <f>(B43/F43)+U43</f>
        <v>130.88888888888889</v>
      </c>
      <c r="W43" s="126">
        <v>128</v>
      </c>
      <c r="X43" s="38">
        <v>103.31</v>
      </c>
      <c r="Y43" s="126"/>
      <c r="Z43" s="38"/>
      <c r="AA43" s="161"/>
      <c r="AB43" s="126"/>
      <c r="AC43" s="126"/>
      <c r="AD43" s="38"/>
      <c r="AE43" s="126"/>
      <c r="AF43" s="38"/>
      <c r="AG43" s="126"/>
      <c r="AH43" s="126">
        <f t="shared" si="26"/>
        <v>0</v>
      </c>
      <c r="AI43" s="126">
        <f t="shared" si="25"/>
        <v>152.88888888888889</v>
      </c>
      <c r="AJ43" s="129">
        <f t="shared" si="22"/>
        <v>231.11111111111111</v>
      </c>
    </row>
    <row r="44" spans="1:36" x14ac:dyDescent="0.25">
      <c r="A44" s="67" t="s">
        <v>129</v>
      </c>
      <c r="B44" s="105">
        <v>968</v>
      </c>
      <c r="C44" s="105"/>
      <c r="D44" s="118">
        <v>42747</v>
      </c>
      <c r="E44" s="85" t="s">
        <v>6</v>
      </c>
      <c r="F44" s="37">
        <v>3</v>
      </c>
      <c r="G44" s="91">
        <v>0.33329999999999999</v>
      </c>
      <c r="H44" s="38">
        <f t="shared" si="19"/>
        <v>968</v>
      </c>
      <c r="I44" s="126">
        <f t="shared" si="27"/>
        <v>0</v>
      </c>
      <c r="J44" s="38">
        <f t="shared" si="21"/>
        <v>968</v>
      </c>
      <c r="K44" s="126">
        <f t="shared" si="23"/>
        <v>0</v>
      </c>
      <c r="L44" s="38"/>
      <c r="M44" s="126"/>
      <c r="N44" s="38"/>
      <c r="O44" s="126"/>
      <c r="P44" s="38"/>
      <c r="Q44" s="126"/>
      <c r="R44" s="38"/>
      <c r="S44" s="126"/>
      <c r="T44" s="38"/>
      <c r="U44" s="126"/>
      <c r="V44" s="38">
        <f>IF(A44="","",H44/F44/$F$2*(SUM(30-DAY(D44)+(12-MONTH(D44))*30)+1))</f>
        <v>312.80740740740742</v>
      </c>
      <c r="W44" s="126">
        <f ca="1">IF(OR(INDIRECT("A"&amp;ROW())="",YEAR($D44)+$F44&lt;INDIRECT(CHAR(COLUMN()+64)&amp;1)),"",IF(YEAR($D44)+$F44=INDIRECT(CHAR(COLUMN()+64)&amp;1),$B44-SUM($V44:INDIRECT(ADDRESS(ROW(),COLUMN()-1,4))),INDIRECT("B"&amp;ROW())/INDIRECT("F"&amp;ROW())))</f>
        <v>322.66666666666669</v>
      </c>
      <c r="X44" s="38">
        <f ca="1">IF(OR(INDIRECT("A"&amp;ROW())="",YEAR($D44)+$F44&lt;INDIRECT(CHAR(COLUMN()+64)&amp;1)),"",IF(YEAR($D44)+$F44=INDIRECT(CHAR(COLUMN()+64)&amp;1),$B44-SUM($V44:INDIRECT(ADDRESS(ROW(),COLUMN()-1,4))),INDIRECT("B"&amp;ROW())/INDIRECT("F"&amp;ROW())))</f>
        <v>322.66666666666669</v>
      </c>
      <c r="Y44" s="126">
        <f ca="1">IF(OR(INDIRECT("A"&amp;ROW())="",YEAR($D44)+$F44&lt;INDIRECT(CHAR(COLUMN()+64)&amp;1)),"",IF(YEAR($D44)+$F44=INDIRECT(CHAR(COLUMN()+64)&amp;1),$B44-SUM($V44:INDIRECT(ADDRESS(ROW(),COLUMN()-1,4))),INDIRECT("B"&amp;ROW())/INDIRECT("F"&amp;ROW())))</f>
        <v>9.8592592592592609</v>
      </c>
      <c r="Z44" s="126"/>
      <c r="AA44" s="38"/>
      <c r="AB44" s="126"/>
      <c r="AC44" s="126"/>
      <c r="AD44" s="38"/>
      <c r="AE44" s="126"/>
      <c r="AF44" s="38"/>
      <c r="AG44" s="126"/>
      <c r="AH44" s="126">
        <f t="shared" si="26"/>
        <v>0</v>
      </c>
      <c r="AI44" s="126">
        <f t="shared" si="25"/>
        <v>312.80740740740742</v>
      </c>
      <c r="AJ44" s="129">
        <f t="shared" si="22"/>
        <v>655.19259259259252</v>
      </c>
    </row>
    <row r="45" spans="1:36" x14ac:dyDescent="0.25">
      <c r="A45" s="67" t="s">
        <v>130</v>
      </c>
      <c r="B45" s="105">
        <v>484</v>
      </c>
      <c r="C45" s="105"/>
      <c r="D45" s="118">
        <v>42747</v>
      </c>
      <c r="E45" s="85" t="s">
        <v>6</v>
      </c>
      <c r="F45" s="37">
        <v>3</v>
      </c>
      <c r="G45" s="91">
        <v>0.33329999999999999</v>
      </c>
      <c r="H45" s="38">
        <f t="shared" si="19"/>
        <v>484</v>
      </c>
      <c r="I45" s="126">
        <f t="shared" si="27"/>
        <v>0</v>
      </c>
      <c r="J45" s="38">
        <f t="shared" si="21"/>
        <v>484</v>
      </c>
      <c r="K45" s="126">
        <f t="shared" si="23"/>
        <v>0</v>
      </c>
      <c r="L45" s="38"/>
      <c r="M45" s="126"/>
      <c r="N45" s="38"/>
      <c r="O45" s="126"/>
      <c r="P45" s="38"/>
      <c r="Q45" s="126"/>
      <c r="R45" s="38"/>
      <c r="S45" s="126"/>
      <c r="T45" s="38"/>
      <c r="U45" s="126"/>
      <c r="V45" s="38">
        <f t="shared" ref="V45:V47" si="29">IF(A45="","",H45/F45/$F$2*(SUM(30-DAY(D45)+(12-MONTH(D45))*30)+1))</f>
        <v>156.40370370370371</v>
      </c>
      <c r="W45" s="126">
        <f ca="1">IF(OR(INDIRECT("A"&amp;ROW())="",YEAR($D45)+$F45&lt;INDIRECT(CHAR(COLUMN()+64)&amp;1)),"",IF(YEAR($D45)+$F45=INDIRECT(CHAR(COLUMN()+64)&amp;1),$B45-SUM($V45:INDIRECT(ADDRESS(ROW(),COLUMN()-1,4))),INDIRECT("B"&amp;ROW())/INDIRECT("F"&amp;ROW())))</f>
        <v>161.33333333333334</v>
      </c>
      <c r="X45" s="38">
        <f ca="1">IF(OR(INDIRECT("A"&amp;ROW())="",YEAR($D45)+$F45&lt;INDIRECT(CHAR(COLUMN()+64)&amp;1)),"",IF(YEAR($D45)+$F45=INDIRECT(CHAR(COLUMN()+64)&amp;1),$B45-SUM($V45:INDIRECT(ADDRESS(ROW(),COLUMN()-1,4))),INDIRECT("B"&amp;ROW())/INDIRECT("F"&amp;ROW())))</f>
        <v>161.33333333333334</v>
      </c>
      <c r="Y45" s="126">
        <f ca="1">IF(OR(INDIRECT("A"&amp;ROW())="",YEAR($D45)+$F45&lt;INDIRECT(CHAR(COLUMN()+64)&amp;1)),"",IF(YEAR($D45)+$F45=INDIRECT(CHAR(COLUMN()+64)&amp;1),$B45-SUM($V45:INDIRECT(ADDRESS(ROW(),COLUMN()-1,4))),INDIRECT("B"&amp;ROW())/INDIRECT("F"&amp;ROW())))</f>
        <v>4.9296296296296305</v>
      </c>
      <c r="Z45" s="126" t="str">
        <f ca="1">IF(OR(INDIRECT("A"&amp;ROW())="",YEAR($D45)+$F45&lt;INDIRECT(CHAR(COLUMN()+64)&amp;1)),"",IF(YEAR($D45)+$F45=INDIRECT(CHAR(COLUMN()+64)&amp;1),$B45-SUM($V45:INDIRECT(ADDRESS(ROW(),COLUMN()-1,4))),INDIRECT("B"&amp;ROW())/INDIRECT("F"&amp;ROW())))</f>
        <v/>
      </c>
      <c r="AA45" s="38"/>
      <c r="AB45" s="126"/>
      <c r="AC45" s="126"/>
      <c r="AD45" s="38"/>
      <c r="AE45" s="126"/>
      <c r="AF45" s="38"/>
      <c r="AG45" s="126"/>
      <c r="AH45" s="126">
        <f t="shared" si="26"/>
        <v>0</v>
      </c>
      <c r="AI45" s="126">
        <f t="shared" si="25"/>
        <v>156.40370370370371</v>
      </c>
      <c r="AJ45" s="129">
        <f t="shared" si="22"/>
        <v>327.59629629629626</v>
      </c>
    </row>
    <row r="46" spans="1:36" x14ac:dyDescent="0.25">
      <c r="A46" s="67" t="s">
        <v>131</v>
      </c>
      <c r="B46" s="105">
        <v>138</v>
      </c>
      <c r="C46" s="105"/>
      <c r="D46" s="118">
        <v>42747</v>
      </c>
      <c r="E46" s="85" t="s">
        <v>6</v>
      </c>
      <c r="F46" s="37">
        <v>3</v>
      </c>
      <c r="G46" s="91">
        <v>0.33329999999999999</v>
      </c>
      <c r="H46" s="38">
        <f t="shared" si="19"/>
        <v>138</v>
      </c>
      <c r="I46" s="126">
        <f t="shared" si="27"/>
        <v>0</v>
      </c>
      <c r="J46" s="38">
        <f t="shared" si="21"/>
        <v>138</v>
      </c>
      <c r="K46" s="126">
        <f t="shared" si="23"/>
        <v>0</v>
      </c>
      <c r="L46" s="38"/>
      <c r="M46" s="126"/>
      <c r="N46" s="38"/>
      <c r="O46" s="126"/>
      <c r="P46" s="38"/>
      <c r="Q46" s="126"/>
      <c r="R46" s="38"/>
      <c r="S46" s="126"/>
      <c r="T46" s="38"/>
      <c r="U46" s="126"/>
      <c r="V46" s="38">
        <f t="shared" si="29"/>
        <v>44.594444444444441</v>
      </c>
      <c r="W46" s="126">
        <f ca="1">IF(OR(INDIRECT("A"&amp;ROW())="",YEAR($D46)+$F46&lt;INDIRECT(CHAR(COLUMN()+64)&amp;1)),"",IF(YEAR($D46)+$F46=INDIRECT(CHAR(COLUMN()+64)&amp;1),$B46-SUM($V46:INDIRECT(ADDRESS(ROW(),COLUMN()-1,4))),INDIRECT("B"&amp;ROW())/INDIRECT("F"&amp;ROW())))</f>
        <v>46</v>
      </c>
      <c r="X46" s="38">
        <f ca="1">IF(OR(INDIRECT("A"&amp;ROW())="",YEAR($D46)+$F46&lt;INDIRECT(CHAR(COLUMN()+64)&amp;1)),"",IF(YEAR($D46)+$F46=INDIRECT(CHAR(COLUMN()+64)&amp;1),$B46-SUM($V46:INDIRECT(ADDRESS(ROW(),COLUMN()-1,4))),INDIRECT("B"&amp;ROW())/INDIRECT("F"&amp;ROW())))</f>
        <v>46</v>
      </c>
      <c r="Y46" s="126">
        <f ca="1">IF(OR(INDIRECT("A"&amp;ROW())="",YEAR($D46)+$F46&lt;INDIRECT(CHAR(COLUMN()+64)&amp;1)),"",IF(YEAR($D46)+$F46=INDIRECT(CHAR(COLUMN()+64)&amp;1),$B46-SUM($V46:INDIRECT(ADDRESS(ROW(),COLUMN()-1,4))),INDIRECT("B"&amp;ROW())/INDIRECT("F"&amp;ROW())))</f>
        <v>1.4055555555555657</v>
      </c>
      <c r="Z46" s="126"/>
      <c r="AA46" s="38"/>
      <c r="AB46" s="126"/>
      <c r="AC46" s="126"/>
      <c r="AD46" s="38"/>
      <c r="AE46" s="126"/>
      <c r="AF46" s="38"/>
      <c r="AG46" s="126"/>
      <c r="AH46" s="126">
        <f t="shared" si="26"/>
        <v>0</v>
      </c>
      <c r="AI46" s="126">
        <f t="shared" si="25"/>
        <v>44.594444444444441</v>
      </c>
      <c r="AJ46" s="129">
        <f t="shared" si="22"/>
        <v>93.405555555555566</v>
      </c>
    </row>
    <row r="47" spans="1:36" x14ac:dyDescent="0.25">
      <c r="A47" s="67" t="s">
        <v>29</v>
      </c>
      <c r="B47" s="105">
        <v>523.49</v>
      </c>
      <c r="C47" s="105"/>
      <c r="D47" s="118">
        <v>42762</v>
      </c>
      <c r="E47" s="85" t="s">
        <v>6</v>
      </c>
      <c r="F47" s="37">
        <v>3</v>
      </c>
      <c r="G47" s="91">
        <v>0.33329999999999999</v>
      </c>
      <c r="H47" s="38">
        <f t="shared" si="19"/>
        <v>523.49</v>
      </c>
      <c r="I47" s="126">
        <f t="shared" si="27"/>
        <v>0</v>
      </c>
      <c r="J47" s="38">
        <f t="shared" si="21"/>
        <v>523.49</v>
      </c>
      <c r="K47" s="126">
        <f t="shared" si="23"/>
        <v>0</v>
      </c>
      <c r="L47" s="38"/>
      <c r="M47" s="126"/>
      <c r="N47" s="38"/>
      <c r="O47" s="126"/>
      <c r="P47" s="38"/>
      <c r="Q47" s="126"/>
      <c r="R47" s="38"/>
      <c r="S47" s="126"/>
      <c r="T47" s="38"/>
      <c r="U47" s="126"/>
      <c r="V47" s="38">
        <f t="shared" si="29"/>
        <v>161.89412962962962</v>
      </c>
      <c r="W47" s="126">
        <f ca="1">IF(OR(INDIRECT("A"&amp;ROW())="",YEAR($D47)+$F47&lt;INDIRECT(CHAR(COLUMN()+64)&amp;1)),"",IF(YEAR($D47)+$F47=INDIRECT(CHAR(COLUMN()+64)&amp;1),$B47-SUM($V47:INDIRECT(ADDRESS(ROW(),COLUMN()-1,4))),INDIRECT("B"&amp;ROW())/INDIRECT("F"&amp;ROW())))</f>
        <v>174.49666666666667</v>
      </c>
      <c r="X47" s="38">
        <f ca="1">IF(OR(INDIRECT("A"&amp;ROW())="",YEAR($D47)+$F47&lt;INDIRECT(CHAR(COLUMN()+64)&amp;1)),"",IF(YEAR($D47)+$F47=INDIRECT(CHAR(COLUMN()+64)&amp;1),$B47-SUM($V47:INDIRECT(ADDRESS(ROW(),COLUMN()-1,4))),INDIRECT("B"&amp;ROW())/INDIRECT("F"&amp;ROW())))</f>
        <v>174.49666666666667</v>
      </c>
      <c r="Y47" s="126">
        <f ca="1">IF(OR(INDIRECT("A"&amp;ROW())="",YEAR($D47)+$F47&lt;INDIRECT(CHAR(COLUMN()+64)&amp;1)),"",IF(YEAR($D47)+$F47=INDIRECT(CHAR(COLUMN()+64)&amp;1),$B47-SUM($V47:INDIRECT(ADDRESS(ROW(),COLUMN()-1,4))),INDIRECT("B"&amp;ROW())/INDIRECT("F"&amp;ROW())))</f>
        <v>12.602537037037052</v>
      </c>
      <c r="Z47" s="126"/>
      <c r="AA47" s="38"/>
      <c r="AB47" s="126"/>
      <c r="AC47" s="126"/>
      <c r="AD47" s="38"/>
      <c r="AE47" s="126"/>
      <c r="AF47" s="38"/>
      <c r="AG47" s="126"/>
      <c r="AH47" s="126">
        <f t="shared" si="26"/>
        <v>0</v>
      </c>
      <c r="AI47" s="126">
        <f t="shared" si="25"/>
        <v>161.89412962962962</v>
      </c>
      <c r="AJ47" s="129">
        <f t="shared" si="22"/>
        <v>361.59587037037039</v>
      </c>
    </row>
    <row r="48" spans="1:36" x14ac:dyDescent="0.25">
      <c r="A48" s="58"/>
      <c r="B48" s="106"/>
      <c r="C48" s="106"/>
      <c r="D48" s="119"/>
      <c r="E48" s="80"/>
      <c r="F48" s="33"/>
      <c r="G48" s="89"/>
      <c r="H48" s="34"/>
      <c r="I48" s="125"/>
      <c r="J48" s="35"/>
      <c r="K48" s="125"/>
      <c r="L48" s="35"/>
      <c r="M48" s="125"/>
      <c r="N48" s="35"/>
      <c r="O48" s="125"/>
      <c r="P48" s="35"/>
      <c r="Q48" s="125"/>
      <c r="R48" s="35"/>
      <c r="S48" s="125"/>
      <c r="T48" s="35"/>
      <c r="U48" s="125"/>
      <c r="V48" s="35"/>
      <c r="W48" s="125"/>
      <c r="X48" s="35"/>
      <c r="Y48" s="125"/>
      <c r="Z48" s="35"/>
      <c r="AA48" s="159"/>
      <c r="AB48" s="125"/>
      <c r="AC48" s="125"/>
      <c r="AD48" s="35"/>
      <c r="AE48" s="125"/>
      <c r="AF48" s="35"/>
      <c r="AG48" s="125"/>
      <c r="AH48" s="125"/>
      <c r="AI48" s="125"/>
      <c r="AJ48" s="73"/>
    </row>
    <row r="49" spans="1:36" x14ac:dyDescent="0.25">
      <c r="A49" s="152"/>
      <c r="B49" s="136">
        <f>SUM(B30:B48)</f>
        <v>99797.660000000018</v>
      </c>
      <c r="C49" s="136">
        <f>SUM(C30:C48)</f>
        <v>97684.170000000013</v>
      </c>
      <c r="D49" s="120"/>
      <c r="E49" s="77"/>
      <c r="F49" s="51"/>
      <c r="G49" s="87"/>
      <c r="H49" s="61">
        <f>SUM(H31:H48)</f>
        <v>2113.4899999999998</v>
      </c>
      <c r="I49" s="76">
        <f>SUM(I31:I48)</f>
        <v>2256.2399999999998</v>
      </c>
      <c r="J49" s="61">
        <f>SUM(J30:J48)</f>
        <v>97541.420000000013</v>
      </c>
      <c r="K49" s="76">
        <f>SUM(K30:K48)</f>
        <v>91848.41</v>
      </c>
      <c r="L49" s="61"/>
      <c r="M49" s="76"/>
      <c r="N49" s="61"/>
      <c r="O49" s="76"/>
      <c r="P49" s="61"/>
      <c r="Q49" s="76"/>
      <c r="R49" s="61"/>
      <c r="S49" s="76"/>
      <c r="T49" s="61">
        <f>SUM(T30:T47)</f>
        <v>2085.0500000000002</v>
      </c>
      <c r="U49" s="61">
        <f>SUM(U30:U47)</f>
        <v>5.9166666666710555E-2</v>
      </c>
      <c r="V49" s="61">
        <f>SUM(V30:V47)</f>
        <v>2572.0656018518521</v>
      </c>
      <c r="W49" s="76">
        <f t="shared" ref="W49:AG49" ca="1" si="30">SUM(W30:W47)</f>
        <v>2225.4222222222224</v>
      </c>
      <c r="X49" s="61">
        <f t="shared" ca="1" si="30"/>
        <v>1484.8566666666666</v>
      </c>
      <c r="Y49" s="76">
        <f t="shared" ca="1" si="30"/>
        <v>153.31698148148149</v>
      </c>
      <c r="Z49" s="61">
        <f t="shared" ca="1" si="30"/>
        <v>0</v>
      </c>
      <c r="AA49" s="76">
        <f t="shared" si="30"/>
        <v>0</v>
      </c>
      <c r="AB49" s="61">
        <f t="shared" si="30"/>
        <v>0</v>
      </c>
      <c r="AC49" s="76">
        <f t="shared" si="30"/>
        <v>0</v>
      </c>
      <c r="AD49" s="61">
        <f t="shared" si="30"/>
        <v>0</v>
      </c>
      <c r="AE49" s="76">
        <f t="shared" si="30"/>
        <v>0</v>
      </c>
      <c r="AF49" s="61">
        <f t="shared" si="30"/>
        <v>0</v>
      </c>
      <c r="AG49" s="76">
        <f t="shared" si="30"/>
        <v>0</v>
      </c>
      <c r="AH49" s="76">
        <f>SUM(AH30:AH47)</f>
        <v>742.46</v>
      </c>
      <c r="AI49" s="76">
        <f>SUM(AI30:AI47)</f>
        <v>93678.015601851861</v>
      </c>
      <c r="AJ49" s="69">
        <f>SUM(AJ30:AJ47)</f>
        <v>5377.1843981481479</v>
      </c>
    </row>
    <row r="50" spans="1:36" x14ac:dyDescent="0.25">
      <c r="A50" s="153"/>
      <c r="B50" s="96"/>
      <c r="C50" s="96"/>
      <c r="D50" s="121"/>
      <c r="E50" s="78"/>
      <c r="F50" s="51"/>
      <c r="G50" s="87"/>
      <c r="H50" s="52"/>
      <c r="I50" s="123"/>
      <c r="J50" s="52"/>
      <c r="K50" s="123"/>
      <c r="L50" s="52"/>
      <c r="M50" s="123"/>
      <c r="N50" s="52"/>
      <c r="O50" s="123"/>
      <c r="P50" s="52"/>
      <c r="Q50" s="123"/>
      <c r="R50" s="52"/>
      <c r="S50" s="123"/>
      <c r="T50" s="52"/>
      <c r="U50" s="123"/>
      <c r="V50" s="52"/>
      <c r="W50" s="123"/>
      <c r="X50" s="52"/>
      <c r="Y50" s="123"/>
      <c r="Z50" s="52"/>
      <c r="AA50" s="123"/>
      <c r="AB50" s="52"/>
      <c r="AC50" s="123"/>
      <c r="AD50" s="52"/>
      <c r="AE50" s="123"/>
      <c r="AF50" s="52"/>
      <c r="AG50" s="123"/>
      <c r="AH50" s="123"/>
      <c r="AI50" s="123"/>
      <c r="AJ50" s="53"/>
    </row>
    <row r="51" spans="1:36" ht="15.75" thickBot="1" x14ac:dyDescent="0.3">
      <c r="A51" s="154" t="s">
        <v>0</v>
      </c>
      <c r="B51" s="155">
        <f>B7+B24+B28+B49</f>
        <v>191692.61</v>
      </c>
      <c r="C51" s="155">
        <f>C7+C24+C28+C49</f>
        <v>181655.19999999998</v>
      </c>
      <c r="D51" s="130"/>
      <c r="E51" s="131"/>
      <c r="F51" s="74"/>
      <c r="G51" s="132"/>
      <c r="H51" s="75">
        <f>H7+H24+H28+H49</f>
        <v>10037.41</v>
      </c>
      <c r="I51" s="75">
        <f t="shared" ref="I51:AJ51" si="31">I7+I24+I28+I49</f>
        <v>2256.2399999999998</v>
      </c>
      <c r="J51" s="75">
        <f t="shared" si="31"/>
        <v>189436.37</v>
      </c>
      <c r="K51" s="75">
        <f>K7+K24+K28+K49</f>
        <v>125203.05</v>
      </c>
      <c r="L51" s="75">
        <f t="shared" si="31"/>
        <v>44.59</v>
      </c>
      <c r="M51" s="75">
        <f t="shared" si="31"/>
        <v>503.52</v>
      </c>
      <c r="N51" s="75">
        <f t="shared" si="31"/>
        <v>982.25</v>
      </c>
      <c r="O51" s="75">
        <f t="shared" si="31"/>
        <v>1784.9399999999998</v>
      </c>
      <c r="P51" s="75">
        <f t="shared" si="31"/>
        <v>2098.31</v>
      </c>
      <c r="Q51" s="75">
        <f t="shared" si="31"/>
        <v>2184.88</v>
      </c>
      <c r="R51" s="75">
        <f t="shared" si="31"/>
        <v>2769.8799999999997</v>
      </c>
      <c r="S51" s="75">
        <f t="shared" si="31"/>
        <v>4536.6399999999994</v>
      </c>
      <c r="T51" s="75">
        <f t="shared" si="31"/>
        <v>14900.25</v>
      </c>
      <c r="U51" s="75">
        <f t="shared" si="31"/>
        <v>-59.531747222222407</v>
      </c>
      <c r="V51" s="75">
        <f t="shared" si="31"/>
        <v>11148.287904629629</v>
      </c>
      <c r="W51" s="75">
        <f t="shared" ca="1" si="31"/>
        <v>10836.448222222221</v>
      </c>
      <c r="X51" s="75">
        <f t="shared" ca="1" si="31"/>
        <v>9430.6926666666659</v>
      </c>
      <c r="Y51" s="75">
        <f t="shared" ca="1" si="31"/>
        <v>7510.0429814814815</v>
      </c>
      <c r="Z51" s="75">
        <f t="shared" ca="1" si="31"/>
        <v>5880.8959999999997</v>
      </c>
      <c r="AA51" s="75" t="e">
        <f t="shared" ca="1" si="31"/>
        <v>#REF!</v>
      </c>
      <c r="AB51" s="75">
        <f t="shared" si="31"/>
        <v>4364.3739999999998</v>
      </c>
      <c r="AC51" s="75">
        <f t="shared" si="31"/>
        <v>4364.3739999999998</v>
      </c>
      <c r="AD51" s="75">
        <f t="shared" si="31"/>
        <v>2746.2356944444437</v>
      </c>
      <c r="AE51" s="75">
        <f t="shared" si="31"/>
        <v>50.19</v>
      </c>
      <c r="AF51" s="75">
        <f t="shared" si="31"/>
        <v>0</v>
      </c>
      <c r="AG51" s="75">
        <f t="shared" si="31"/>
        <v>0</v>
      </c>
      <c r="AH51" s="75">
        <f t="shared" si="31"/>
        <v>742.46</v>
      </c>
      <c r="AI51" s="75">
        <f t="shared" si="31"/>
        <v>208328.51677685184</v>
      </c>
      <c r="AJ51" s="133">
        <f t="shared" si="31"/>
        <v>139694.55322314816</v>
      </c>
    </row>
    <row r="52" spans="1:36" x14ac:dyDescent="0.25">
      <c r="A52" s="11"/>
      <c r="C52" s="11"/>
      <c r="R52" s="10"/>
      <c r="S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</row>
    <row r="53" spans="1:36" x14ac:dyDescent="0.25">
      <c r="A53" s="11"/>
      <c r="B53" s="10"/>
      <c r="C53" s="11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</row>
    <row r="54" spans="1:36" x14ac:dyDescent="0.25">
      <c r="A54" s="11"/>
      <c r="B54" s="13"/>
      <c r="C54" s="11"/>
      <c r="T54" s="2" t="s">
        <v>108</v>
      </c>
      <c r="V54" s="8">
        <f>V22+V35+V37+V39+V43+V44+V45+V46+V47</f>
        <v>1981.3165185185185</v>
      </c>
      <c r="W54" s="8">
        <f ca="1">W22+W35+W37+W39+W43+W44+W45+W46+W47</f>
        <v>1983.5266666666666</v>
      </c>
    </row>
    <row r="55" spans="1:36" x14ac:dyDescent="0.25">
      <c r="A55" s="11"/>
      <c r="C55" s="11"/>
      <c r="V55" s="8">
        <f>V51-V54</f>
        <v>9166.9713861111104</v>
      </c>
      <c r="W55" s="8">
        <f ca="1">W51-W54</f>
        <v>8852.9215555555547</v>
      </c>
    </row>
    <row r="56" spans="1:36" x14ac:dyDescent="0.25">
      <c r="A56" s="11"/>
      <c r="B56" s="10"/>
      <c r="C56" s="11"/>
    </row>
    <row r="57" spans="1:36" x14ac:dyDescent="0.25">
      <c r="A57" s="11"/>
      <c r="B57" s="10"/>
      <c r="C57" s="11"/>
    </row>
    <row r="58" spans="1:36" x14ac:dyDescent="0.25">
      <c r="A58" s="11"/>
      <c r="B58" s="10"/>
      <c r="C58" s="11"/>
    </row>
    <row r="59" spans="1:36" x14ac:dyDescent="0.25">
      <c r="A59" s="11"/>
      <c r="B59" s="10"/>
      <c r="C59" s="11"/>
    </row>
    <row r="60" spans="1:36" x14ac:dyDescent="0.25">
      <c r="A60" s="11"/>
      <c r="B60" s="10"/>
      <c r="C60" s="11"/>
    </row>
    <row r="61" spans="1:36" x14ac:dyDescent="0.25">
      <c r="A61" s="11"/>
      <c r="B61" s="10"/>
      <c r="C61" s="11"/>
    </row>
    <row r="62" spans="1:36" x14ac:dyDescent="0.25">
      <c r="A62" s="11"/>
      <c r="B62" s="10"/>
      <c r="C62" s="11"/>
    </row>
    <row r="63" spans="1:36" x14ac:dyDescent="0.25">
      <c r="A63" s="11"/>
      <c r="B63" s="10"/>
      <c r="C63" s="11"/>
    </row>
    <row r="64" spans="1:36" x14ac:dyDescent="0.25">
      <c r="A64" s="11"/>
      <c r="B64" s="10"/>
      <c r="C64" s="11"/>
    </row>
    <row r="65" spans="1:3" x14ac:dyDescent="0.25">
      <c r="A65" s="11"/>
      <c r="B65" s="10"/>
      <c r="C65" s="11"/>
    </row>
    <row r="66" spans="1:3" x14ac:dyDescent="0.25">
      <c r="A66" s="11"/>
      <c r="B66" s="10"/>
      <c r="C66" s="11"/>
    </row>
    <row r="67" spans="1:3" x14ac:dyDescent="0.25">
      <c r="A67" s="11"/>
      <c r="B67" s="10"/>
      <c r="C67" s="11"/>
    </row>
    <row r="68" spans="1:3" x14ac:dyDescent="0.25">
      <c r="A68" s="11"/>
      <c r="B68" s="10"/>
      <c r="C68" s="11"/>
    </row>
    <row r="69" spans="1:3" x14ac:dyDescent="0.25">
      <c r="A69" s="11"/>
      <c r="B69" s="10"/>
      <c r="C69" s="11"/>
    </row>
    <row r="70" spans="1:3" x14ac:dyDescent="0.25">
      <c r="A70" s="11"/>
      <c r="B70" s="10"/>
      <c r="C70" s="11"/>
    </row>
    <row r="71" spans="1:3" x14ac:dyDescent="0.25">
      <c r="A71" s="11"/>
      <c r="B71" s="10"/>
      <c r="C71" s="11"/>
    </row>
    <row r="72" spans="1:3" x14ac:dyDescent="0.25">
      <c r="A72" s="11"/>
      <c r="B72" s="10"/>
      <c r="C72" s="11"/>
    </row>
    <row r="73" spans="1:3" x14ac:dyDescent="0.25">
      <c r="A73" s="11"/>
      <c r="B73" s="10"/>
      <c r="C73" s="11"/>
    </row>
    <row r="74" spans="1:3" x14ac:dyDescent="0.25">
      <c r="A74" s="11"/>
      <c r="B74" s="10"/>
      <c r="C74" s="11"/>
    </row>
    <row r="75" spans="1:3" x14ac:dyDescent="0.25">
      <c r="A75" s="11"/>
      <c r="B75" s="10"/>
      <c r="C75" s="11"/>
    </row>
    <row r="76" spans="1:3" x14ac:dyDescent="0.25">
      <c r="A76" s="11"/>
      <c r="B76" s="10"/>
      <c r="C76" s="11"/>
    </row>
    <row r="77" spans="1:3" x14ac:dyDescent="0.25">
      <c r="A77" s="11"/>
      <c r="B77" s="10"/>
      <c r="C77" s="11"/>
    </row>
    <row r="78" spans="1:3" x14ac:dyDescent="0.25">
      <c r="A78" s="11"/>
      <c r="C78" s="11"/>
    </row>
    <row r="79" spans="1:3" x14ac:dyDescent="0.25">
      <c r="A79" s="11"/>
      <c r="C79" s="11"/>
    </row>
    <row r="80" spans="1:3" x14ac:dyDescent="0.25">
      <c r="A80" s="11"/>
      <c r="C80" s="11"/>
    </row>
    <row r="81" spans="1:3" x14ac:dyDescent="0.25">
      <c r="A81" s="11"/>
      <c r="C81" s="11"/>
    </row>
    <row r="82" spans="1:3" x14ac:dyDescent="0.25">
      <c r="A82" s="11"/>
      <c r="C82" s="11"/>
    </row>
  </sheetData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I1" sqref="I1:I1048576"/>
    </sheetView>
  </sheetViews>
  <sheetFormatPr baseColWidth="10" defaultRowHeight="15" x14ac:dyDescent="0.25"/>
  <cols>
    <col min="1" max="1" width="19.85546875" customWidth="1"/>
    <col min="3" max="3" width="5.7109375" customWidth="1"/>
    <col min="5" max="5" width="7" style="175" customWidth="1"/>
    <col min="6" max="16" width="7.7109375" customWidth="1"/>
  </cols>
  <sheetData>
    <row r="1" spans="1:16" ht="15.75" thickBot="1" x14ac:dyDescent="0.3"/>
    <row r="2" spans="1:16" ht="15.75" thickBot="1" x14ac:dyDescent="0.3">
      <c r="A2" s="183"/>
      <c r="B2" s="184"/>
      <c r="C2" s="184"/>
      <c r="D2" s="184" t="s">
        <v>161</v>
      </c>
      <c r="E2" s="185"/>
      <c r="F2" s="197">
        <v>2015</v>
      </c>
      <c r="G2" s="184">
        <f>F2+1</f>
        <v>2016</v>
      </c>
      <c r="H2" s="197">
        <f t="shared" ref="H2:P2" si="0">G2+1</f>
        <v>2017</v>
      </c>
      <c r="I2" s="184">
        <f t="shared" si="0"/>
        <v>2018</v>
      </c>
      <c r="J2" s="197">
        <f t="shared" si="0"/>
        <v>2019</v>
      </c>
      <c r="K2" s="184">
        <f t="shared" si="0"/>
        <v>2020</v>
      </c>
      <c r="L2" s="197">
        <f t="shared" si="0"/>
        <v>2021</v>
      </c>
      <c r="M2" s="184">
        <f t="shared" si="0"/>
        <v>2022</v>
      </c>
      <c r="N2" s="197">
        <f t="shared" si="0"/>
        <v>2023</v>
      </c>
      <c r="O2" s="184">
        <f t="shared" si="0"/>
        <v>2024</v>
      </c>
      <c r="P2" s="198">
        <f t="shared" si="0"/>
        <v>2025</v>
      </c>
    </row>
    <row r="3" spans="1:16" x14ac:dyDescent="0.25">
      <c r="A3" s="178" t="s">
        <v>116</v>
      </c>
      <c r="B3" s="186">
        <v>40022</v>
      </c>
      <c r="C3" s="148"/>
      <c r="D3" s="148"/>
      <c r="E3" s="179"/>
      <c r="F3" s="149"/>
      <c r="G3" s="148"/>
      <c r="H3" s="149"/>
      <c r="I3" s="148"/>
      <c r="J3" s="149"/>
      <c r="K3" s="148"/>
      <c r="L3" s="149"/>
      <c r="M3" s="148"/>
      <c r="N3" s="149"/>
      <c r="O3" s="148"/>
      <c r="P3" s="199"/>
    </row>
    <row r="4" spans="1:16" x14ac:dyDescent="0.25">
      <c r="A4" s="50"/>
      <c r="B4" s="51" t="s">
        <v>117</v>
      </c>
      <c r="C4" s="51"/>
      <c r="D4" s="51" t="s">
        <v>118</v>
      </c>
      <c r="E4" s="180" t="s">
        <v>162</v>
      </c>
      <c r="F4" s="123"/>
      <c r="G4" s="52"/>
      <c r="H4" s="123"/>
      <c r="I4" s="52"/>
      <c r="J4" s="123"/>
      <c r="K4" s="52"/>
      <c r="L4" s="123"/>
      <c r="M4" s="52"/>
      <c r="N4" s="123"/>
      <c r="O4" s="52"/>
      <c r="P4" s="200"/>
    </row>
    <row r="5" spans="1:16" x14ac:dyDescent="0.25">
      <c r="A5" s="181" t="s">
        <v>112</v>
      </c>
      <c r="B5" s="40">
        <v>22898.75</v>
      </c>
      <c r="C5" s="41">
        <f>SUM(B5/B8*100)</f>
        <v>78.56391729409728</v>
      </c>
      <c r="D5" s="42">
        <v>8895.34</v>
      </c>
      <c r="E5" s="176"/>
      <c r="F5" s="123"/>
      <c r="G5" s="52"/>
      <c r="H5" s="123"/>
      <c r="I5" s="52"/>
      <c r="J5" s="123"/>
      <c r="K5" s="52"/>
      <c r="L5" s="123"/>
      <c r="M5" s="52"/>
      <c r="N5" s="123"/>
      <c r="O5" s="52"/>
      <c r="P5" s="200"/>
    </row>
    <row r="6" spans="1:16" x14ac:dyDescent="0.25">
      <c r="A6" s="181" t="s">
        <v>113</v>
      </c>
      <c r="B6" s="40">
        <v>2425.4899999999998</v>
      </c>
      <c r="C6" s="41">
        <f>SUM(B6/B8*100)</f>
        <v>8.3216767621664918</v>
      </c>
      <c r="D6" s="42">
        <v>942.07</v>
      </c>
      <c r="E6" s="176"/>
      <c r="F6" s="123"/>
      <c r="G6" s="52"/>
      <c r="H6" s="123"/>
      <c r="I6" s="52"/>
      <c r="J6" s="123"/>
      <c r="K6" s="52"/>
      <c r="L6" s="123"/>
      <c r="M6" s="52"/>
      <c r="N6" s="123"/>
      <c r="O6" s="52"/>
      <c r="P6" s="200"/>
    </row>
    <row r="7" spans="1:16" x14ac:dyDescent="0.25">
      <c r="A7" s="181" t="s">
        <v>114</v>
      </c>
      <c r="B7" s="40">
        <v>3822.41</v>
      </c>
      <c r="C7" s="41">
        <f>SUM(B7/B8*100)</f>
        <v>13.114405943736246</v>
      </c>
      <c r="D7" s="42">
        <v>1485.59</v>
      </c>
      <c r="E7" s="176"/>
      <c r="F7" s="123"/>
      <c r="G7" s="52"/>
      <c r="H7" s="123"/>
      <c r="I7" s="52"/>
      <c r="J7" s="123"/>
      <c r="K7" s="52"/>
      <c r="L7" s="123"/>
      <c r="M7" s="52"/>
      <c r="N7" s="123"/>
      <c r="O7" s="52"/>
      <c r="P7" s="200"/>
    </row>
    <row r="8" spans="1:16" x14ac:dyDescent="0.25">
      <c r="A8" s="182" t="s">
        <v>115</v>
      </c>
      <c r="B8" s="44">
        <f>SUM(B5:B7)</f>
        <v>29146.649999999998</v>
      </c>
      <c r="C8" s="42"/>
      <c r="D8" s="45">
        <v>11323</v>
      </c>
      <c r="E8" s="187">
        <v>0.1</v>
      </c>
      <c r="F8" s="196">
        <f>'REGION '!E35</f>
        <v>242.76</v>
      </c>
      <c r="G8" s="34">
        <f>'REGION '!E38</f>
        <v>242.76</v>
      </c>
      <c r="H8" s="196">
        <f>'REGION '!E41</f>
        <v>242.76</v>
      </c>
      <c r="I8" s="34">
        <f>'REGION '!E44</f>
        <v>289.93</v>
      </c>
      <c r="J8" s="196"/>
      <c r="K8" s="34"/>
      <c r="L8" s="196"/>
      <c r="M8" s="34"/>
      <c r="N8" s="196"/>
      <c r="O8" s="34"/>
      <c r="P8" s="201"/>
    </row>
    <row r="9" spans="1:16" x14ac:dyDescent="0.25">
      <c r="A9" s="188" t="s">
        <v>123</v>
      </c>
      <c r="B9" s="189">
        <v>42004</v>
      </c>
      <c r="C9" s="190"/>
      <c r="D9" s="190"/>
      <c r="E9" s="191"/>
      <c r="F9" s="122"/>
      <c r="G9" s="192"/>
      <c r="H9" s="122"/>
      <c r="I9" s="192"/>
      <c r="J9" s="122"/>
      <c r="K9" s="192"/>
      <c r="L9" s="122"/>
      <c r="M9" s="192"/>
      <c r="N9" s="122"/>
      <c r="O9" s="192"/>
      <c r="P9" s="202"/>
    </row>
    <row r="10" spans="1:16" x14ac:dyDescent="0.25">
      <c r="A10" s="50"/>
      <c r="B10" s="51" t="s">
        <v>124</v>
      </c>
      <c r="C10" s="51"/>
      <c r="D10" s="51" t="s">
        <v>118</v>
      </c>
      <c r="E10" s="180"/>
      <c r="F10" s="123"/>
      <c r="G10" s="52"/>
      <c r="H10" s="123"/>
      <c r="I10" s="52"/>
      <c r="J10" s="123"/>
      <c r="K10" s="52"/>
      <c r="L10" s="123"/>
      <c r="M10" s="52"/>
      <c r="N10" s="123"/>
      <c r="O10" s="52"/>
      <c r="P10" s="200"/>
    </row>
    <row r="11" spans="1:16" x14ac:dyDescent="0.25">
      <c r="A11" s="181" t="s">
        <v>119</v>
      </c>
      <c r="B11" s="40">
        <v>4383.4799999999996</v>
      </c>
      <c r="C11" s="52"/>
      <c r="D11" s="42">
        <v>29000</v>
      </c>
      <c r="E11" s="176"/>
      <c r="F11" s="123"/>
      <c r="G11" s="52"/>
      <c r="H11" s="123"/>
      <c r="I11" s="52"/>
      <c r="J11" s="123"/>
      <c r="K11" s="52"/>
      <c r="L11" s="123"/>
      <c r="M11" s="52"/>
      <c r="N11" s="123"/>
      <c r="O11" s="52"/>
      <c r="P11" s="200"/>
    </row>
    <row r="12" spans="1:16" x14ac:dyDescent="0.25">
      <c r="A12" s="181" t="s">
        <v>120</v>
      </c>
      <c r="B12" s="40">
        <v>32299.200000000001</v>
      </c>
      <c r="C12" s="52"/>
      <c r="D12" s="39"/>
      <c r="E12" s="176"/>
      <c r="F12" s="123"/>
      <c r="G12" s="52"/>
      <c r="H12" s="123"/>
      <c r="I12" s="52"/>
      <c r="J12" s="123"/>
      <c r="K12" s="52"/>
      <c r="L12" s="123"/>
      <c r="M12" s="52"/>
      <c r="N12" s="123"/>
      <c r="O12" s="52"/>
      <c r="P12" s="200"/>
    </row>
    <row r="13" spans="1:16" x14ac:dyDescent="0.25">
      <c r="A13" s="181" t="s">
        <v>121</v>
      </c>
      <c r="B13" s="40">
        <v>1814.4</v>
      </c>
      <c r="C13" s="52"/>
      <c r="D13" s="39"/>
      <c r="E13" s="176"/>
      <c r="F13" s="123"/>
      <c r="G13" s="52"/>
      <c r="H13" s="123"/>
      <c r="I13" s="52"/>
      <c r="J13" s="123"/>
      <c r="K13" s="52"/>
      <c r="L13" s="123"/>
      <c r="M13" s="52"/>
      <c r="N13" s="123"/>
      <c r="O13" s="52"/>
      <c r="P13" s="200"/>
    </row>
    <row r="14" spans="1:16" x14ac:dyDescent="0.25">
      <c r="A14" s="181" t="s">
        <v>122</v>
      </c>
      <c r="B14" s="40">
        <v>2649.49</v>
      </c>
      <c r="C14" s="52"/>
      <c r="D14" s="39"/>
      <c r="E14" s="176"/>
      <c r="F14" s="123"/>
      <c r="G14" s="52"/>
      <c r="H14" s="123"/>
      <c r="I14" s="52"/>
      <c r="J14" s="123"/>
      <c r="K14" s="52"/>
      <c r="L14" s="123"/>
      <c r="M14" s="52"/>
      <c r="N14" s="123"/>
      <c r="O14" s="52"/>
      <c r="P14" s="200"/>
    </row>
    <row r="15" spans="1:16" x14ac:dyDescent="0.25">
      <c r="A15" s="182" t="s">
        <v>115</v>
      </c>
      <c r="B15" s="44">
        <f>SUM(B11:B14)</f>
        <v>41146.57</v>
      </c>
      <c r="C15" s="34"/>
      <c r="D15" s="48">
        <f>SUM(D11:D14)</f>
        <v>29000</v>
      </c>
      <c r="E15" s="193">
        <v>0.1</v>
      </c>
      <c r="F15" s="196">
        <f>'ETAT '!D13</f>
        <v>967</v>
      </c>
      <c r="G15" s="34">
        <f>$D$15*$E$15</f>
        <v>2900</v>
      </c>
      <c r="H15" s="196">
        <f t="shared" ref="H15:O15" si="1">$D$15*$E$15</f>
        <v>2900</v>
      </c>
      <c r="I15" s="34">
        <f t="shared" si="1"/>
        <v>2900</v>
      </c>
      <c r="J15" s="196">
        <f t="shared" si="1"/>
        <v>2900</v>
      </c>
      <c r="K15" s="34">
        <f t="shared" si="1"/>
        <v>2900</v>
      </c>
      <c r="L15" s="196">
        <f t="shared" si="1"/>
        <v>2900</v>
      </c>
      <c r="M15" s="34">
        <f t="shared" si="1"/>
        <v>2900</v>
      </c>
      <c r="N15" s="196">
        <f t="shared" si="1"/>
        <v>2900</v>
      </c>
      <c r="O15" s="34">
        <f t="shared" si="1"/>
        <v>2900</v>
      </c>
      <c r="P15" s="203">
        <f>G15-F15</f>
        <v>1933</v>
      </c>
    </row>
    <row r="16" spans="1:16" x14ac:dyDescent="0.25">
      <c r="A16" s="188" t="s">
        <v>125</v>
      </c>
      <c r="B16" s="194">
        <v>42243</v>
      </c>
      <c r="C16" s="192"/>
      <c r="D16" s="192"/>
      <c r="E16" s="195"/>
      <c r="F16" s="122"/>
      <c r="G16" s="192"/>
      <c r="H16" s="122"/>
      <c r="I16" s="192"/>
      <c r="J16" s="122"/>
      <c r="K16" s="192"/>
      <c r="L16" s="122"/>
      <c r="M16" s="192"/>
      <c r="N16" s="122"/>
      <c r="O16" s="192"/>
      <c r="P16" s="202"/>
    </row>
    <row r="17" spans="1:16" x14ac:dyDescent="0.25">
      <c r="A17" s="50"/>
      <c r="B17" s="51" t="s">
        <v>124</v>
      </c>
      <c r="C17" s="52"/>
      <c r="D17" s="51" t="s">
        <v>118</v>
      </c>
      <c r="E17" s="180"/>
      <c r="F17" s="123"/>
      <c r="G17" s="52"/>
      <c r="H17" s="123"/>
      <c r="I17" s="52"/>
      <c r="J17" s="123"/>
      <c r="K17" s="52"/>
      <c r="L17" s="123"/>
      <c r="M17" s="52"/>
      <c r="N17" s="123"/>
      <c r="O17" s="52"/>
      <c r="P17" s="200"/>
    </row>
    <row r="18" spans="1:16" x14ac:dyDescent="0.25">
      <c r="A18" s="181" t="s">
        <v>119</v>
      </c>
      <c r="B18" s="40">
        <v>4383.4799999999996</v>
      </c>
      <c r="C18" s="52"/>
      <c r="D18" s="42">
        <v>5000</v>
      </c>
      <c r="E18" s="176"/>
      <c r="F18" s="123"/>
      <c r="G18" s="52"/>
      <c r="H18" s="123"/>
      <c r="I18" s="52"/>
      <c r="J18" s="123"/>
      <c r="K18" s="52"/>
      <c r="L18" s="123"/>
      <c r="M18" s="52"/>
      <c r="N18" s="123"/>
      <c r="O18" s="52"/>
      <c r="P18" s="200"/>
    </row>
    <row r="19" spans="1:16" x14ac:dyDescent="0.25">
      <c r="A19" s="181" t="s">
        <v>120</v>
      </c>
      <c r="B19" s="40">
        <v>32299.200000000001</v>
      </c>
      <c r="C19" s="52"/>
      <c r="D19" s="39"/>
      <c r="E19" s="176"/>
      <c r="F19" s="123"/>
      <c r="G19" s="52"/>
      <c r="H19" s="123"/>
      <c r="I19" s="52"/>
      <c r="J19" s="123"/>
      <c r="K19" s="52"/>
      <c r="L19" s="123"/>
      <c r="M19" s="52"/>
      <c r="N19" s="123"/>
      <c r="O19" s="52"/>
      <c r="P19" s="200"/>
    </row>
    <row r="20" spans="1:16" x14ac:dyDescent="0.25">
      <c r="A20" s="181" t="s">
        <v>121</v>
      </c>
      <c r="B20" s="40">
        <v>1814.4</v>
      </c>
      <c r="C20" s="52"/>
      <c r="D20" s="39"/>
      <c r="E20" s="176"/>
      <c r="F20" s="123"/>
      <c r="G20" s="52"/>
      <c r="H20" s="123"/>
      <c r="I20" s="52"/>
      <c r="J20" s="123"/>
      <c r="K20" s="52"/>
      <c r="L20" s="123"/>
      <c r="M20" s="52"/>
      <c r="N20" s="123"/>
      <c r="O20" s="52"/>
      <c r="P20" s="200"/>
    </row>
    <row r="21" spans="1:16" x14ac:dyDescent="0.25">
      <c r="A21" s="181" t="s">
        <v>122</v>
      </c>
      <c r="B21" s="40">
        <v>2649.49</v>
      </c>
      <c r="C21" s="52"/>
      <c r="D21" s="39"/>
      <c r="E21" s="176"/>
      <c r="F21" s="123"/>
      <c r="G21" s="52"/>
      <c r="H21" s="123"/>
      <c r="I21" s="52"/>
      <c r="J21" s="123"/>
      <c r="K21" s="52"/>
      <c r="L21" s="123"/>
      <c r="M21" s="52"/>
      <c r="N21" s="123"/>
      <c r="O21" s="52"/>
      <c r="P21" s="200"/>
    </row>
    <row r="22" spans="1:16" x14ac:dyDescent="0.25">
      <c r="A22" s="182" t="s">
        <v>115</v>
      </c>
      <c r="B22" s="44">
        <f>SUM(B18:B21)</f>
        <v>41146.57</v>
      </c>
      <c r="C22" s="34"/>
      <c r="D22" s="48">
        <f>SUM(D18:D21)</f>
        <v>5000</v>
      </c>
      <c r="E22" s="193">
        <v>0.1</v>
      </c>
      <c r="F22" s="196">
        <f>DEPARTEMENT!D13</f>
        <v>167</v>
      </c>
      <c r="G22" s="34">
        <f>$D$22*$E$22</f>
        <v>500</v>
      </c>
      <c r="H22" s="196">
        <f t="shared" ref="H22:O22" si="2">$D$22*$E$22</f>
        <v>500</v>
      </c>
      <c r="I22" s="34">
        <f t="shared" si="2"/>
        <v>500</v>
      </c>
      <c r="J22" s="196">
        <f t="shared" si="2"/>
        <v>500</v>
      </c>
      <c r="K22" s="34">
        <f t="shared" si="2"/>
        <v>500</v>
      </c>
      <c r="L22" s="196">
        <f t="shared" si="2"/>
        <v>500</v>
      </c>
      <c r="M22" s="34">
        <f t="shared" si="2"/>
        <v>500</v>
      </c>
      <c r="N22" s="196">
        <f t="shared" si="2"/>
        <v>500</v>
      </c>
      <c r="O22" s="34">
        <f t="shared" si="2"/>
        <v>500</v>
      </c>
      <c r="P22" s="203">
        <f>G22-F22</f>
        <v>333</v>
      </c>
    </row>
    <row r="23" spans="1:16" x14ac:dyDescent="0.25">
      <c r="A23" s="188" t="s">
        <v>126</v>
      </c>
      <c r="B23" s="194">
        <v>42243</v>
      </c>
      <c r="C23" s="192"/>
      <c r="D23" s="192"/>
      <c r="E23" s="195"/>
      <c r="F23" s="122"/>
      <c r="G23" s="192"/>
      <c r="H23" s="122"/>
      <c r="I23" s="192"/>
      <c r="J23" s="122"/>
      <c r="K23" s="192"/>
      <c r="L23" s="122"/>
      <c r="M23" s="192"/>
      <c r="N23" s="122"/>
      <c r="O23" s="192"/>
      <c r="P23" s="202"/>
    </row>
    <row r="24" spans="1:16" x14ac:dyDescent="0.25">
      <c r="A24" s="50"/>
      <c r="B24" s="51" t="s">
        <v>117</v>
      </c>
      <c r="C24" s="51"/>
      <c r="D24" s="51" t="s">
        <v>118</v>
      </c>
      <c r="E24" s="180"/>
      <c r="F24" s="123"/>
      <c r="G24" s="52"/>
      <c r="H24" s="123"/>
      <c r="I24" s="52"/>
      <c r="J24" s="123"/>
      <c r="K24" s="52"/>
      <c r="L24" s="123"/>
      <c r="M24" s="52"/>
      <c r="N24" s="123"/>
      <c r="O24" s="52"/>
      <c r="P24" s="200"/>
    </row>
    <row r="25" spans="1:16" x14ac:dyDescent="0.25">
      <c r="A25" s="181" t="s">
        <v>119</v>
      </c>
      <c r="B25" s="40">
        <v>4383.4799999999996</v>
      </c>
      <c r="C25" s="49" t="s">
        <v>127</v>
      </c>
      <c r="D25" s="47">
        <v>2000</v>
      </c>
      <c r="E25" s="177"/>
      <c r="F25" s="123"/>
      <c r="G25" s="52"/>
      <c r="H25" s="123"/>
      <c r="I25" s="52"/>
      <c r="J25" s="123"/>
      <c r="K25" s="52"/>
      <c r="L25" s="123"/>
      <c r="M25" s="52"/>
      <c r="N25" s="123"/>
      <c r="O25" s="52"/>
      <c r="P25" s="200"/>
    </row>
    <row r="26" spans="1:16" x14ac:dyDescent="0.25">
      <c r="A26" s="181" t="s">
        <v>120</v>
      </c>
      <c r="B26" s="40">
        <v>32299.200000000001</v>
      </c>
      <c r="C26" s="49" t="s">
        <v>128</v>
      </c>
      <c r="D26" s="47">
        <v>1500</v>
      </c>
      <c r="E26" s="177"/>
      <c r="F26" s="123"/>
      <c r="G26" s="52"/>
      <c r="H26" s="123"/>
      <c r="I26" s="52"/>
      <c r="J26" s="123"/>
      <c r="K26" s="52"/>
      <c r="L26" s="123"/>
      <c r="M26" s="52"/>
      <c r="N26" s="123"/>
      <c r="O26" s="52"/>
      <c r="P26" s="200"/>
    </row>
    <row r="27" spans="1:16" x14ac:dyDescent="0.25">
      <c r="A27" s="181" t="s">
        <v>121</v>
      </c>
      <c r="B27" s="40">
        <v>1814.4</v>
      </c>
      <c r="C27" s="52"/>
      <c r="D27" s="39"/>
      <c r="E27" s="176"/>
      <c r="F27" s="123"/>
      <c r="G27" s="52"/>
      <c r="H27" s="123"/>
      <c r="I27" s="52"/>
      <c r="J27" s="123"/>
      <c r="K27" s="52"/>
      <c r="L27" s="123"/>
      <c r="M27" s="52"/>
      <c r="N27" s="123"/>
      <c r="O27" s="52"/>
      <c r="P27" s="200"/>
    </row>
    <row r="28" spans="1:16" x14ac:dyDescent="0.25">
      <c r="A28" s="181" t="s">
        <v>122</v>
      </c>
      <c r="B28" s="40">
        <v>2649.49</v>
      </c>
      <c r="C28" s="52"/>
      <c r="D28" s="39"/>
      <c r="E28" s="176"/>
      <c r="F28" s="123"/>
      <c r="G28" s="52"/>
      <c r="H28" s="123"/>
      <c r="I28" s="52"/>
      <c r="J28" s="123"/>
      <c r="K28" s="52"/>
      <c r="L28" s="123"/>
      <c r="M28" s="52"/>
      <c r="N28" s="123"/>
      <c r="O28" s="52"/>
      <c r="P28" s="200"/>
    </row>
    <row r="29" spans="1:16" x14ac:dyDescent="0.25">
      <c r="A29" s="182" t="s">
        <v>115</v>
      </c>
      <c r="B29" s="44">
        <f>SUM(B25:B28)</f>
        <v>41146.57</v>
      </c>
      <c r="C29" s="34"/>
      <c r="D29" s="46">
        <f>SUM(D25:D28)</f>
        <v>3500</v>
      </c>
      <c r="E29" s="193">
        <v>0.1</v>
      </c>
      <c r="F29" s="196">
        <f>COMMUNE!D16</f>
        <v>117</v>
      </c>
      <c r="G29" s="34">
        <f>$D$29*$E$29</f>
        <v>350</v>
      </c>
      <c r="H29" s="196">
        <f t="shared" ref="H29:O29" si="3">$D$29*$E$29</f>
        <v>350</v>
      </c>
      <c r="I29" s="34">
        <f t="shared" si="3"/>
        <v>350</v>
      </c>
      <c r="J29" s="196">
        <f t="shared" si="3"/>
        <v>350</v>
      </c>
      <c r="K29" s="34">
        <f t="shared" si="3"/>
        <v>350</v>
      </c>
      <c r="L29" s="196">
        <f t="shared" si="3"/>
        <v>350</v>
      </c>
      <c r="M29" s="34">
        <f t="shared" si="3"/>
        <v>350</v>
      </c>
      <c r="N29" s="196">
        <f t="shared" si="3"/>
        <v>350</v>
      </c>
      <c r="O29" s="34">
        <f t="shared" si="3"/>
        <v>350</v>
      </c>
      <c r="P29" s="203">
        <f>G29-F29</f>
        <v>233</v>
      </c>
    </row>
    <row r="30" spans="1:16" x14ac:dyDescent="0.25">
      <c r="A30" s="50"/>
      <c r="B30" s="52"/>
      <c r="C30" s="52"/>
      <c r="D30" s="52"/>
      <c r="E30" s="176"/>
      <c r="F30" s="123"/>
      <c r="G30" s="52"/>
      <c r="H30" s="123"/>
      <c r="I30" s="52"/>
      <c r="J30" s="123"/>
      <c r="K30" s="52"/>
      <c r="L30" s="123"/>
      <c r="M30" s="52"/>
      <c r="N30" s="123"/>
      <c r="O30" s="52"/>
      <c r="P30" s="200"/>
    </row>
    <row r="31" spans="1:16" ht="15.75" thickBot="1" x14ac:dyDescent="0.3">
      <c r="A31" s="204"/>
      <c r="B31" s="205"/>
      <c r="C31" s="205"/>
      <c r="D31" s="205" t="s">
        <v>163</v>
      </c>
      <c r="E31" s="206"/>
      <c r="F31" s="207">
        <f t="shared" ref="F31:P31" si="4">SUM(F8:F29)</f>
        <v>1493.76</v>
      </c>
      <c r="G31" s="206">
        <f t="shared" si="4"/>
        <v>3992.76</v>
      </c>
      <c r="H31" s="207">
        <f t="shared" si="4"/>
        <v>3992.76</v>
      </c>
      <c r="I31" s="206">
        <f t="shared" si="4"/>
        <v>4039.93</v>
      </c>
      <c r="J31" s="207">
        <f t="shared" si="4"/>
        <v>3750</v>
      </c>
      <c r="K31" s="206">
        <f t="shared" si="4"/>
        <v>3750</v>
      </c>
      <c r="L31" s="207">
        <f t="shared" si="4"/>
        <v>3750</v>
      </c>
      <c r="M31" s="206">
        <f t="shared" si="4"/>
        <v>3750</v>
      </c>
      <c r="N31" s="207">
        <f t="shared" si="4"/>
        <v>3750</v>
      </c>
      <c r="O31" s="206">
        <f t="shared" si="4"/>
        <v>3750</v>
      </c>
      <c r="P31" s="208">
        <f t="shared" si="4"/>
        <v>2499</v>
      </c>
    </row>
  </sheetData>
  <sortState ref="A2:C44">
    <sortCondition ref="A1"/>
  </sortState>
  <pageMargins left="0.11811023622047245" right="0.11811023622047245" top="0.15748031496062992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0" workbookViewId="0">
      <selection activeCell="A14" sqref="A14"/>
    </sheetView>
  </sheetViews>
  <sheetFormatPr baseColWidth="10" defaultRowHeight="15" x14ac:dyDescent="0.25"/>
  <sheetData>
    <row r="1" spans="1:5" ht="15.75" thickBot="1" x14ac:dyDescent="0.3"/>
    <row r="2" spans="1:5" ht="15.75" thickBot="1" x14ac:dyDescent="0.3">
      <c r="A2" s="209" t="s">
        <v>153</v>
      </c>
      <c r="B2" s="210"/>
    </row>
    <row r="4" spans="1:5" x14ac:dyDescent="0.25">
      <c r="A4" s="39" t="s">
        <v>144</v>
      </c>
      <c r="B4" s="39"/>
      <c r="C4" s="39" t="s">
        <v>145</v>
      </c>
      <c r="D4" s="39"/>
      <c r="E4" s="39" t="s">
        <v>146</v>
      </c>
    </row>
    <row r="5" spans="1:5" x14ac:dyDescent="0.25">
      <c r="A5" s="39"/>
      <c r="B5" s="39"/>
      <c r="C5" s="39"/>
      <c r="D5" s="39"/>
      <c r="E5" s="39"/>
    </row>
    <row r="6" spans="1:5" x14ac:dyDescent="0.25">
      <c r="A6" s="39" t="s">
        <v>112</v>
      </c>
      <c r="B6" s="40">
        <v>22898.75</v>
      </c>
      <c r="C6" s="41">
        <f>SUM(B6/B9*100)</f>
        <v>78.56391729409728</v>
      </c>
      <c r="D6" s="42"/>
      <c r="E6" s="42">
        <v>8895.34</v>
      </c>
    </row>
    <row r="7" spans="1:5" x14ac:dyDescent="0.25">
      <c r="A7" s="39" t="s">
        <v>113</v>
      </c>
      <c r="B7" s="40">
        <v>2425.4899999999998</v>
      </c>
      <c r="C7" s="41">
        <f>SUM(B7/B9*100)</f>
        <v>8.3216767621664918</v>
      </c>
      <c r="D7" s="42"/>
      <c r="E7" s="42">
        <v>942.07</v>
      </c>
    </row>
    <row r="8" spans="1:5" x14ac:dyDescent="0.25">
      <c r="A8" s="39" t="s">
        <v>114</v>
      </c>
      <c r="B8" s="40">
        <v>3822.41</v>
      </c>
      <c r="C8" s="41">
        <f>SUM(B8/B9*100)</f>
        <v>13.114405943736246</v>
      </c>
      <c r="D8" s="42"/>
      <c r="E8" s="42">
        <v>1485.59</v>
      </c>
    </row>
    <row r="9" spans="1:5" x14ac:dyDescent="0.25">
      <c r="A9" s="43" t="s">
        <v>115</v>
      </c>
      <c r="B9" s="44">
        <f>SUM(B6:B8)</f>
        <v>29146.649999999998</v>
      </c>
      <c r="C9" s="42"/>
      <c r="D9" s="42"/>
      <c r="E9" s="45">
        <v>11323</v>
      </c>
    </row>
    <row r="10" spans="1:5" x14ac:dyDescent="0.25">
      <c r="A10" s="39"/>
      <c r="B10" s="39"/>
      <c r="C10" s="39"/>
      <c r="D10" s="39"/>
      <c r="E10" s="39"/>
    </row>
    <row r="11" spans="1:5" x14ac:dyDescent="0.25">
      <c r="A11" s="162"/>
      <c r="B11" s="43" t="s">
        <v>147</v>
      </c>
      <c r="C11" s="39">
        <v>2965.11</v>
      </c>
      <c r="D11" s="39" t="s">
        <v>148</v>
      </c>
      <c r="E11" s="42">
        <v>1235.46</v>
      </c>
    </row>
    <row r="12" spans="1:5" x14ac:dyDescent="0.25">
      <c r="A12" s="39"/>
      <c r="B12" s="43" t="s">
        <v>149</v>
      </c>
      <c r="C12" s="39">
        <v>94.2</v>
      </c>
      <c r="D12" s="39" t="s">
        <v>150</v>
      </c>
      <c r="E12" s="42">
        <v>47.1</v>
      </c>
    </row>
    <row r="13" spans="1:5" x14ac:dyDescent="0.25">
      <c r="A13" s="39"/>
      <c r="B13" s="43" t="s">
        <v>151</v>
      </c>
      <c r="C13" s="39">
        <v>148.56</v>
      </c>
      <c r="D13" s="39"/>
      <c r="E13" s="42">
        <v>148.55000000000001</v>
      </c>
    </row>
    <row r="14" spans="1:5" x14ac:dyDescent="0.25">
      <c r="A14" s="163">
        <v>2009</v>
      </c>
      <c r="B14" s="39"/>
      <c r="C14" s="39"/>
      <c r="D14" s="39"/>
      <c r="E14" s="45">
        <f>SUM(E11:E13)</f>
        <v>1431.11</v>
      </c>
    </row>
    <row r="15" spans="1:5" x14ac:dyDescent="0.25">
      <c r="A15" s="162"/>
      <c r="B15" s="39"/>
      <c r="C15" s="39"/>
      <c r="D15" s="39"/>
      <c r="E15" s="42">
        <v>2965.11</v>
      </c>
    </row>
    <row r="16" spans="1:5" x14ac:dyDescent="0.25">
      <c r="A16" s="39"/>
      <c r="B16" s="39"/>
      <c r="C16" s="39"/>
      <c r="D16" s="39"/>
      <c r="E16" s="42">
        <v>94.2</v>
      </c>
    </row>
    <row r="17" spans="1:5" x14ac:dyDescent="0.25">
      <c r="A17" s="39"/>
      <c r="B17" s="39"/>
      <c r="C17" s="39"/>
      <c r="D17" s="39"/>
      <c r="E17" s="42">
        <v>148.56</v>
      </c>
    </row>
    <row r="18" spans="1:5" x14ac:dyDescent="0.25">
      <c r="A18" s="163">
        <v>2010</v>
      </c>
      <c r="B18" s="39"/>
      <c r="C18" s="39"/>
      <c r="D18" s="39"/>
      <c r="E18" s="45">
        <f>SUM(E15:E17)</f>
        <v>3207.87</v>
      </c>
    </row>
    <row r="19" spans="1:5" x14ac:dyDescent="0.25">
      <c r="A19" s="162"/>
      <c r="B19" s="39"/>
      <c r="C19" s="39"/>
      <c r="D19" s="39"/>
      <c r="E19" s="42">
        <v>2965.11</v>
      </c>
    </row>
    <row r="20" spans="1:5" x14ac:dyDescent="0.25">
      <c r="A20" s="39"/>
      <c r="B20" s="39"/>
      <c r="C20" s="39"/>
      <c r="D20" s="39"/>
      <c r="E20" s="42">
        <v>94.2</v>
      </c>
    </row>
    <row r="21" spans="1:5" x14ac:dyDescent="0.25">
      <c r="A21" s="39"/>
      <c r="B21" s="39"/>
      <c r="C21" s="39"/>
      <c r="D21" s="39"/>
      <c r="E21" s="42">
        <v>148.56</v>
      </c>
    </row>
    <row r="22" spans="1:5" x14ac:dyDescent="0.25">
      <c r="A22" s="163">
        <v>2011</v>
      </c>
      <c r="B22" s="39"/>
      <c r="C22" s="39"/>
      <c r="D22" s="39"/>
      <c r="E22" s="45">
        <f>SUM(E19:E21)</f>
        <v>3207.87</v>
      </c>
    </row>
    <row r="23" spans="1:5" x14ac:dyDescent="0.25">
      <c r="A23" s="162"/>
      <c r="B23" s="39"/>
      <c r="C23" s="39">
        <v>2965.11</v>
      </c>
      <c r="D23" s="39" t="s">
        <v>152</v>
      </c>
      <c r="E23" s="42">
        <v>1729.66</v>
      </c>
    </row>
    <row r="24" spans="1:5" x14ac:dyDescent="0.25">
      <c r="A24" s="39"/>
      <c r="B24" s="39"/>
      <c r="C24" s="39"/>
      <c r="D24" s="39"/>
      <c r="E24" s="42">
        <v>94.2</v>
      </c>
    </row>
    <row r="25" spans="1:5" x14ac:dyDescent="0.25">
      <c r="A25" s="39"/>
      <c r="B25" s="39"/>
      <c r="C25" s="39"/>
      <c r="D25" s="39"/>
      <c r="E25" s="42">
        <v>148.56</v>
      </c>
    </row>
    <row r="26" spans="1:5" x14ac:dyDescent="0.25">
      <c r="A26" s="163">
        <v>2012</v>
      </c>
      <c r="B26" s="39"/>
      <c r="C26" s="39"/>
      <c r="D26" s="39"/>
      <c r="E26" s="45">
        <f>SUM(E23:E25)</f>
        <v>1972.42</v>
      </c>
    </row>
    <row r="27" spans="1:5" x14ac:dyDescent="0.25">
      <c r="A27" s="162"/>
      <c r="B27" s="39"/>
      <c r="C27" s="39"/>
      <c r="D27" s="39"/>
      <c r="E27" s="42">
        <v>94.2</v>
      </c>
    </row>
    <row r="28" spans="1:5" x14ac:dyDescent="0.25">
      <c r="A28" s="39"/>
      <c r="B28" s="39"/>
      <c r="C28" s="39"/>
      <c r="D28" s="39"/>
      <c r="E28" s="42">
        <v>148.56</v>
      </c>
    </row>
    <row r="29" spans="1:5" x14ac:dyDescent="0.25">
      <c r="A29" s="163">
        <v>2013</v>
      </c>
      <c r="B29" s="39"/>
      <c r="C29" s="39"/>
      <c r="D29" s="39"/>
      <c r="E29" s="45">
        <f>SUM(E27:E28)</f>
        <v>242.76</v>
      </c>
    </row>
    <row r="30" spans="1:5" x14ac:dyDescent="0.25">
      <c r="A30" s="162"/>
      <c r="B30" s="39"/>
      <c r="C30" s="39"/>
      <c r="D30" s="39"/>
      <c r="E30" s="39">
        <v>94.2</v>
      </c>
    </row>
    <row r="31" spans="1:5" x14ac:dyDescent="0.25">
      <c r="A31" s="39"/>
      <c r="B31" s="39"/>
      <c r="C31" s="39"/>
      <c r="D31" s="39"/>
      <c r="E31" s="39">
        <v>148.56</v>
      </c>
    </row>
    <row r="32" spans="1:5" x14ac:dyDescent="0.25">
      <c r="A32" s="163">
        <v>2014</v>
      </c>
      <c r="B32" s="39"/>
      <c r="C32" s="39"/>
      <c r="D32" s="39"/>
      <c r="E32" s="163">
        <f>SUM(E30:E31)</f>
        <v>242.76</v>
      </c>
    </row>
    <row r="33" spans="1:5" x14ac:dyDescent="0.25">
      <c r="A33" s="39"/>
      <c r="B33" s="39"/>
      <c r="C33" s="39"/>
      <c r="D33" s="39"/>
      <c r="E33" s="39">
        <v>94.2</v>
      </c>
    </row>
    <row r="34" spans="1:5" x14ac:dyDescent="0.25">
      <c r="A34" s="39"/>
      <c r="B34" s="39"/>
      <c r="C34" s="39"/>
      <c r="D34" s="39"/>
      <c r="E34" s="39">
        <v>148.56</v>
      </c>
    </row>
    <row r="35" spans="1:5" x14ac:dyDescent="0.25">
      <c r="A35" s="163">
        <v>2015</v>
      </c>
      <c r="B35" s="39"/>
      <c r="C35" s="39"/>
      <c r="D35" s="39"/>
      <c r="E35" s="163">
        <f>SUM(E33:E34)</f>
        <v>242.76</v>
      </c>
    </row>
    <row r="36" spans="1:5" x14ac:dyDescent="0.25">
      <c r="A36" s="39"/>
      <c r="B36" s="39"/>
      <c r="C36" s="39"/>
      <c r="D36" s="39"/>
      <c r="E36" s="39">
        <v>94.2</v>
      </c>
    </row>
    <row r="37" spans="1:5" x14ac:dyDescent="0.25">
      <c r="A37" s="39"/>
      <c r="B37" s="39"/>
      <c r="C37" s="39"/>
      <c r="D37" s="39"/>
      <c r="E37" s="39">
        <v>148.56</v>
      </c>
    </row>
    <row r="38" spans="1:5" x14ac:dyDescent="0.25">
      <c r="A38" s="163">
        <v>2016</v>
      </c>
      <c r="B38" s="39"/>
      <c r="C38" s="39"/>
      <c r="D38" s="39"/>
      <c r="E38" s="163">
        <f>SUM(E36:E37)</f>
        <v>242.76</v>
      </c>
    </row>
    <row r="39" spans="1:5" x14ac:dyDescent="0.25">
      <c r="A39" s="39"/>
      <c r="B39" s="39"/>
      <c r="C39" s="39"/>
      <c r="D39" s="39"/>
      <c r="E39" s="39">
        <v>94.2</v>
      </c>
    </row>
    <row r="40" spans="1:5" x14ac:dyDescent="0.25">
      <c r="A40" s="39"/>
      <c r="B40" s="39"/>
      <c r="C40" s="39"/>
      <c r="D40" s="39"/>
      <c r="E40" s="39">
        <v>148.56</v>
      </c>
    </row>
    <row r="41" spans="1:5" x14ac:dyDescent="0.25">
      <c r="A41" s="163">
        <v>2017</v>
      </c>
      <c r="B41" s="39"/>
      <c r="C41" s="39"/>
      <c r="D41" s="39"/>
      <c r="E41" s="163">
        <f>SUM(E39:E40)</f>
        <v>242.76</v>
      </c>
    </row>
    <row r="42" spans="1:5" x14ac:dyDescent="0.25">
      <c r="A42" s="39"/>
      <c r="B42" s="39"/>
      <c r="C42" s="39"/>
      <c r="D42" s="39"/>
      <c r="E42" s="39">
        <v>141.37</v>
      </c>
    </row>
    <row r="43" spans="1:5" x14ac:dyDescent="0.25">
      <c r="A43" s="39"/>
      <c r="B43" s="39"/>
      <c r="C43" s="39"/>
      <c r="D43" s="39"/>
      <c r="E43" s="39">
        <v>148.56</v>
      </c>
    </row>
    <row r="44" spans="1:5" x14ac:dyDescent="0.25">
      <c r="A44" s="163">
        <v>2018</v>
      </c>
      <c r="B44" s="39"/>
      <c r="C44" s="39"/>
      <c r="D44" s="39"/>
      <c r="E44" s="163">
        <f>SUM(E42:E43)</f>
        <v>289.93</v>
      </c>
    </row>
  </sheetData>
  <mergeCells count="1"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F39" sqref="F39"/>
    </sheetView>
  </sheetViews>
  <sheetFormatPr baseColWidth="10" defaultRowHeight="15" x14ac:dyDescent="0.25"/>
  <sheetData>
    <row r="1" spans="1:5" ht="15.75" thickBot="1" x14ac:dyDescent="0.3"/>
    <row r="2" spans="1:5" ht="15.75" thickBot="1" x14ac:dyDescent="0.3">
      <c r="A2" s="211" t="s">
        <v>123</v>
      </c>
      <c r="B2" s="212"/>
    </row>
    <row r="4" spans="1:5" x14ac:dyDescent="0.25">
      <c r="A4" s="174">
        <v>2014</v>
      </c>
      <c r="B4" s="162" t="s">
        <v>154</v>
      </c>
      <c r="C4" s="164" t="s">
        <v>146</v>
      </c>
      <c r="D4" s="164" t="s">
        <v>155</v>
      </c>
      <c r="E4" s="165"/>
    </row>
    <row r="5" spans="1:5" x14ac:dyDescent="0.25">
      <c r="A5" s="39"/>
      <c r="B5" s="39"/>
      <c r="C5" s="165"/>
      <c r="D5" s="165"/>
      <c r="E5" s="165"/>
    </row>
    <row r="6" spans="1:5" x14ac:dyDescent="0.25">
      <c r="A6" s="39" t="s">
        <v>119</v>
      </c>
      <c r="B6" s="40">
        <v>4383.4799999999996</v>
      </c>
      <c r="C6" s="166"/>
      <c r="D6" s="167"/>
      <c r="E6" s="167"/>
    </row>
    <row r="7" spans="1:5" x14ac:dyDescent="0.25">
      <c r="A7" s="39" t="s">
        <v>120</v>
      </c>
      <c r="B7" s="40">
        <v>32299.200000000001</v>
      </c>
      <c r="C7" s="166"/>
      <c r="D7" s="167"/>
      <c r="E7" s="167"/>
    </row>
    <row r="8" spans="1:5" x14ac:dyDescent="0.25">
      <c r="A8" s="39" t="s">
        <v>121</v>
      </c>
      <c r="B8" s="40">
        <v>1814.4</v>
      </c>
      <c r="C8" s="166"/>
      <c r="D8" s="167"/>
      <c r="E8" s="167"/>
    </row>
    <row r="9" spans="1:5" x14ac:dyDescent="0.25">
      <c r="A9" s="39" t="s">
        <v>122</v>
      </c>
      <c r="B9" s="40">
        <v>2649.49</v>
      </c>
      <c r="C9" s="166"/>
      <c r="D9" s="167"/>
      <c r="E9" s="167"/>
    </row>
    <row r="10" spans="1:5" x14ac:dyDescent="0.25">
      <c r="A10" s="43" t="s">
        <v>115</v>
      </c>
      <c r="B10" s="44">
        <f>SUM(B6:B9)</f>
        <v>41146.57</v>
      </c>
      <c r="C10" s="167"/>
      <c r="D10" s="167"/>
      <c r="E10" s="167"/>
    </row>
    <row r="11" spans="1:5" x14ac:dyDescent="0.25">
      <c r="A11" s="39"/>
      <c r="B11" s="39"/>
      <c r="C11" s="165"/>
      <c r="D11" s="165"/>
      <c r="E11" s="165"/>
    </row>
    <row r="12" spans="1:5" x14ac:dyDescent="0.25">
      <c r="A12" s="162" t="s">
        <v>156</v>
      </c>
      <c r="B12" s="168"/>
      <c r="C12" s="46">
        <v>29000</v>
      </c>
      <c r="D12" s="165"/>
      <c r="E12" s="167"/>
    </row>
    <row r="13" spans="1:5" x14ac:dyDescent="0.25">
      <c r="A13" s="169">
        <v>2015</v>
      </c>
      <c r="B13" s="43" t="s">
        <v>157</v>
      </c>
      <c r="C13" s="165"/>
      <c r="D13" s="170">
        <v>967</v>
      </c>
      <c r="E13" s="167"/>
    </row>
    <row r="14" spans="1:5" x14ac:dyDescent="0.25">
      <c r="A14" s="169">
        <v>2016</v>
      </c>
      <c r="B14" s="43"/>
      <c r="C14" s="165"/>
      <c r="D14" s="165">
        <v>2900</v>
      </c>
      <c r="E14" s="167"/>
    </row>
    <row r="15" spans="1:5" x14ac:dyDescent="0.25">
      <c r="A15" s="169">
        <v>2017</v>
      </c>
      <c r="B15" s="39"/>
      <c r="C15" s="165"/>
      <c r="D15" s="165">
        <v>2900</v>
      </c>
      <c r="E15" s="167"/>
    </row>
    <row r="16" spans="1:5" x14ac:dyDescent="0.25">
      <c r="A16" s="169">
        <v>2018</v>
      </c>
      <c r="B16" s="39"/>
      <c r="C16" s="165"/>
      <c r="D16" s="165">
        <v>2900</v>
      </c>
      <c r="E16" s="167"/>
    </row>
    <row r="17" spans="1:5" x14ac:dyDescent="0.25">
      <c r="A17" s="169">
        <v>2019</v>
      </c>
      <c r="B17" s="39"/>
      <c r="C17" s="165"/>
      <c r="D17" s="165">
        <v>2900</v>
      </c>
      <c r="E17" s="167"/>
    </row>
    <row r="18" spans="1:5" x14ac:dyDescent="0.25">
      <c r="A18" s="169">
        <v>2020</v>
      </c>
      <c r="B18" s="39"/>
      <c r="C18" s="165"/>
      <c r="D18" s="165">
        <v>2900</v>
      </c>
      <c r="E18" s="167"/>
    </row>
    <row r="19" spans="1:5" x14ac:dyDescent="0.25">
      <c r="A19" s="169">
        <v>2021</v>
      </c>
      <c r="B19" s="39"/>
      <c r="C19" s="165"/>
      <c r="D19" s="165">
        <v>2900</v>
      </c>
      <c r="E19" s="167"/>
    </row>
    <row r="20" spans="1:5" x14ac:dyDescent="0.25">
      <c r="A20" s="169">
        <v>2022</v>
      </c>
      <c r="B20" s="39"/>
      <c r="C20" s="165"/>
      <c r="D20" s="165">
        <v>2900</v>
      </c>
      <c r="E20" s="167"/>
    </row>
    <row r="21" spans="1:5" x14ac:dyDescent="0.25">
      <c r="A21" s="169">
        <v>2023</v>
      </c>
      <c r="B21" s="39"/>
      <c r="C21" s="165"/>
      <c r="D21" s="165">
        <v>2900</v>
      </c>
      <c r="E21" s="167"/>
    </row>
    <row r="22" spans="1:5" x14ac:dyDescent="0.25">
      <c r="A22" s="169">
        <v>2024</v>
      </c>
      <c r="B22" s="39"/>
      <c r="C22" s="165"/>
      <c r="D22" s="165">
        <v>2900</v>
      </c>
      <c r="E22" s="167"/>
    </row>
    <row r="23" spans="1:5" x14ac:dyDescent="0.25">
      <c r="A23" s="169">
        <v>2025</v>
      </c>
      <c r="B23" s="39"/>
      <c r="C23" s="165"/>
      <c r="D23" s="165">
        <v>1933</v>
      </c>
      <c r="E23" s="167"/>
    </row>
    <row r="24" spans="1:5" x14ac:dyDescent="0.25">
      <c r="A24" s="169" t="s">
        <v>115</v>
      </c>
      <c r="B24" s="39"/>
      <c r="C24" s="165"/>
      <c r="D24" s="165">
        <f>SUM(D13:D23)</f>
        <v>29000</v>
      </c>
      <c r="E24" s="167"/>
    </row>
  </sheetData>
  <mergeCells count="1">
    <mergeCell ref="A2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H35" sqref="H35"/>
    </sheetView>
  </sheetViews>
  <sheetFormatPr baseColWidth="10" defaultRowHeight="15" x14ac:dyDescent="0.25"/>
  <sheetData>
    <row r="1" spans="1:5" ht="15.75" thickBot="1" x14ac:dyDescent="0.3"/>
    <row r="2" spans="1:5" ht="15.75" thickBot="1" x14ac:dyDescent="0.3">
      <c r="A2" s="209" t="s">
        <v>159</v>
      </c>
      <c r="B2" s="210"/>
    </row>
    <row r="4" spans="1:5" x14ac:dyDescent="0.25">
      <c r="A4" s="174">
        <v>2015</v>
      </c>
      <c r="B4" s="162" t="s">
        <v>154</v>
      </c>
      <c r="C4" s="164" t="s">
        <v>146</v>
      </c>
      <c r="D4" s="164" t="s">
        <v>155</v>
      </c>
      <c r="E4" s="165"/>
    </row>
    <row r="5" spans="1:5" x14ac:dyDescent="0.25">
      <c r="A5" s="39"/>
      <c r="B5" s="39"/>
      <c r="C5" s="165"/>
      <c r="D5" s="165"/>
      <c r="E5" s="165"/>
    </row>
    <row r="6" spans="1:5" x14ac:dyDescent="0.25">
      <c r="A6" s="39" t="s">
        <v>119</v>
      </c>
      <c r="B6" s="40">
        <v>4383.4799999999996</v>
      </c>
      <c r="C6" s="166"/>
      <c r="D6" s="167"/>
      <c r="E6" s="167"/>
    </row>
    <row r="7" spans="1:5" x14ac:dyDescent="0.25">
      <c r="A7" s="39" t="s">
        <v>120</v>
      </c>
      <c r="B7" s="40">
        <v>32299.200000000001</v>
      </c>
      <c r="C7" s="166"/>
      <c r="D7" s="167"/>
      <c r="E7" s="167"/>
    </row>
    <row r="8" spans="1:5" x14ac:dyDescent="0.25">
      <c r="A8" s="39" t="s">
        <v>121</v>
      </c>
      <c r="B8" s="40">
        <v>1814.4</v>
      </c>
      <c r="C8" s="166"/>
      <c r="D8" s="167"/>
      <c r="E8" s="167"/>
    </row>
    <row r="9" spans="1:5" x14ac:dyDescent="0.25">
      <c r="A9" s="39" t="s">
        <v>122</v>
      </c>
      <c r="B9" s="40">
        <v>2649.49</v>
      </c>
      <c r="C9" s="166"/>
      <c r="D9" s="167"/>
      <c r="E9" s="167"/>
    </row>
    <row r="10" spans="1:5" x14ac:dyDescent="0.25">
      <c r="A10" s="43" t="s">
        <v>115</v>
      </c>
      <c r="B10" s="44">
        <f>SUM(B6:B9)</f>
        <v>41146.57</v>
      </c>
      <c r="C10" s="167"/>
      <c r="D10" s="167"/>
      <c r="E10" s="167"/>
    </row>
    <row r="11" spans="1:5" x14ac:dyDescent="0.25">
      <c r="A11" s="39"/>
      <c r="B11" s="39"/>
      <c r="C11" s="165"/>
      <c r="D11" s="165"/>
      <c r="E11" s="165"/>
    </row>
    <row r="12" spans="1:5" x14ac:dyDescent="0.25">
      <c r="A12" s="171" t="s">
        <v>158</v>
      </c>
      <c r="B12" s="168"/>
      <c r="C12" s="46">
        <v>5000</v>
      </c>
      <c r="D12" s="165"/>
      <c r="E12" s="167"/>
    </row>
    <row r="13" spans="1:5" x14ac:dyDescent="0.25">
      <c r="A13" s="169">
        <v>2015</v>
      </c>
      <c r="B13" s="43" t="s">
        <v>157</v>
      </c>
      <c r="C13" s="165"/>
      <c r="D13" s="170">
        <v>167</v>
      </c>
      <c r="E13" s="167"/>
    </row>
    <row r="14" spans="1:5" x14ac:dyDescent="0.25">
      <c r="A14" s="169">
        <v>2016</v>
      </c>
      <c r="B14" s="43"/>
      <c r="C14" s="165"/>
      <c r="D14" s="165">
        <v>500</v>
      </c>
      <c r="E14" s="167"/>
    </row>
    <row r="15" spans="1:5" x14ac:dyDescent="0.25">
      <c r="A15" s="169">
        <v>2017</v>
      </c>
      <c r="B15" s="39"/>
      <c r="C15" s="165"/>
      <c r="D15" s="165">
        <v>500</v>
      </c>
      <c r="E15" s="167"/>
    </row>
    <row r="16" spans="1:5" x14ac:dyDescent="0.25">
      <c r="A16" s="169">
        <v>2018</v>
      </c>
      <c r="B16" s="39"/>
      <c r="C16" s="165"/>
      <c r="D16" s="165">
        <v>500</v>
      </c>
      <c r="E16" s="167"/>
    </row>
    <row r="17" spans="1:5" x14ac:dyDescent="0.25">
      <c r="A17" s="169">
        <v>2019</v>
      </c>
      <c r="B17" s="39"/>
      <c r="C17" s="165"/>
      <c r="D17" s="165">
        <v>500</v>
      </c>
      <c r="E17" s="167"/>
    </row>
    <row r="18" spans="1:5" x14ac:dyDescent="0.25">
      <c r="A18" s="169">
        <v>2020</v>
      </c>
      <c r="B18" s="39"/>
      <c r="C18" s="165"/>
      <c r="D18" s="165">
        <v>500</v>
      </c>
      <c r="E18" s="167"/>
    </row>
    <row r="19" spans="1:5" x14ac:dyDescent="0.25">
      <c r="A19" s="169">
        <v>2021</v>
      </c>
      <c r="B19" s="39"/>
      <c r="C19" s="165"/>
      <c r="D19" s="165">
        <v>500</v>
      </c>
      <c r="E19" s="167"/>
    </row>
    <row r="20" spans="1:5" x14ac:dyDescent="0.25">
      <c r="A20" s="169">
        <v>2022</v>
      </c>
      <c r="B20" s="39"/>
      <c r="C20" s="165"/>
      <c r="D20" s="165">
        <v>500</v>
      </c>
      <c r="E20" s="167"/>
    </row>
    <row r="21" spans="1:5" x14ac:dyDescent="0.25">
      <c r="A21" s="169">
        <v>2023</v>
      </c>
      <c r="B21" s="39"/>
      <c r="C21" s="165"/>
      <c r="D21" s="165">
        <v>500</v>
      </c>
      <c r="E21" s="167"/>
    </row>
    <row r="22" spans="1:5" x14ac:dyDescent="0.25">
      <c r="A22" s="169">
        <v>2024</v>
      </c>
      <c r="B22" s="39"/>
      <c r="C22" s="165"/>
      <c r="D22" s="165">
        <v>500</v>
      </c>
      <c r="E22" s="167"/>
    </row>
    <row r="23" spans="1:5" x14ac:dyDescent="0.25">
      <c r="A23" s="169">
        <v>2025</v>
      </c>
      <c r="B23" s="39"/>
      <c r="C23" s="165"/>
      <c r="D23" s="165">
        <v>333</v>
      </c>
      <c r="E23" s="167"/>
    </row>
    <row r="24" spans="1:5" x14ac:dyDescent="0.25">
      <c r="A24" s="169" t="s">
        <v>115</v>
      </c>
      <c r="B24" s="39"/>
      <c r="C24" s="165"/>
      <c r="D24" s="165">
        <f>SUM(D13:D23)</f>
        <v>5000</v>
      </c>
      <c r="E24" s="167"/>
    </row>
  </sheetData>
  <mergeCells count="1"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J14" sqref="J14"/>
    </sheetView>
  </sheetViews>
  <sheetFormatPr baseColWidth="10" defaultRowHeight="15" x14ac:dyDescent="0.25"/>
  <sheetData>
    <row r="1" spans="1:5" ht="15.75" thickBot="1" x14ac:dyDescent="0.3"/>
    <row r="2" spans="1:5" ht="15.75" thickBot="1" x14ac:dyDescent="0.3">
      <c r="A2" s="209" t="s">
        <v>126</v>
      </c>
      <c r="B2" s="210"/>
    </row>
    <row r="5" spans="1:5" x14ac:dyDescent="0.25">
      <c r="A5" s="162">
        <v>2015</v>
      </c>
      <c r="B5" s="162" t="s">
        <v>160</v>
      </c>
      <c r="C5" s="164" t="s">
        <v>146</v>
      </c>
      <c r="D5" s="213" t="s">
        <v>155</v>
      </c>
      <c r="E5" s="214"/>
    </row>
    <row r="6" spans="1:5" x14ac:dyDescent="0.25">
      <c r="A6" s="39"/>
      <c r="B6" s="39"/>
      <c r="C6" s="165"/>
      <c r="D6" s="165"/>
      <c r="E6" s="165"/>
    </row>
    <row r="7" spans="1:5" x14ac:dyDescent="0.25">
      <c r="A7" s="39" t="s">
        <v>119</v>
      </c>
      <c r="B7" s="40">
        <v>4383.4799999999996</v>
      </c>
      <c r="C7" s="166"/>
      <c r="D7" s="167"/>
      <c r="E7" s="167"/>
    </row>
    <row r="8" spans="1:5" x14ac:dyDescent="0.25">
      <c r="A8" s="39" t="s">
        <v>120</v>
      </c>
      <c r="B8" s="40">
        <v>32299.200000000001</v>
      </c>
      <c r="C8" s="166"/>
      <c r="D8" s="167"/>
      <c r="E8" s="167"/>
    </row>
    <row r="9" spans="1:5" x14ac:dyDescent="0.25">
      <c r="A9" s="39" t="s">
        <v>121</v>
      </c>
      <c r="B9" s="40">
        <v>1814.4</v>
      </c>
      <c r="C9" s="166"/>
      <c r="D9" s="167"/>
      <c r="E9" s="172"/>
    </row>
    <row r="10" spans="1:5" x14ac:dyDescent="0.25">
      <c r="A10" s="39" t="s">
        <v>122</v>
      </c>
      <c r="B10" s="40">
        <v>2649.49</v>
      </c>
      <c r="C10" s="166"/>
      <c r="D10" s="167"/>
      <c r="E10" s="167"/>
    </row>
    <row r="11" spans="1:5" x14ac:dyDescent="0.25">
      <c r="A11" s="43" t="s">
        <v>115</v>
      </c>
      <c r="B11" s="44">
        <f>SUM(B7:B10)</f>
        <v>41146.57</v>
      </c>
      <c r="C11" s="167"/>
      <c r="D11" s="167"/>
      <c r="E11" s="167"/>
    </row>
    <row r="12" spans="1:5" x14ac:dyDescent="0.25">
      <c r="A12" s="39"/>
      <c r="B12" s="39"/>
      <c r="C12" s="165"/>
      <c r="D12" s="165"/>
      <c r="E12" s="165"/>
    </row>
    <row r="13" spans="1:5" x14ac:dyDescent="0.25">
      <c r="A13" s="162" t="s">
        <v>115</v>
      </c>
      <c r="B13" s="168"/>
      <c r="C13" s="46">
        <v>3500</v>
      </c>
      <c r="D13" s="165"/>
      <c r="E13" s="167"/>
    </row>
    <row r="14" spans="1:5" x14ac:dyDescent="0.25">
      <c r="A14" s="173" t="s">
        <v>127</v>
      </c>
      <c r="B14" s="168"/>
      <c r="C14" s="46">
        <v>2000</v>
      </c>
      <c r="D14" s="165"/>
      <c r="E14" s="167"/>
    </row>
    <row r="15" spans="1:5" x14ac:dyDescent="0.25">
      <c r="A15" s="173" t="s">
        <v>128</v>
      </c>
      <c r="B15" s="168"/>
      <c r="C15" s="46">
        <v>1500</v>
      </c>
      <c r="D15" s="165"/>
      <c r="E15" s="167"/>
    </row>
    <row r="16" spans="1:5" x14ac:dyDescent="0.25">
      <c r="A16" s="169">
        <v>2015</v>
      </c>
      <c r="B16" s="43" t="s">
        <v>157</v>
      </c>
      <c r="C16" s="165"/>
      <c r="D16" s="170">
        <v>117</v>
      </c>
      <c r="E16" s="167"/>
    </row>
    <row r="17" spans="1:5" x14ac:dyDescent="0.25">
      <c r="A17" s="169">
        <v>2016</v>
      </c>
      <c r="B17" s="43"/>
      <c r="C17" s="165"/>
      <c r="D17" s="165">
        <v>350</v>
      </c>
      <c r="E17" s="167"/>
    </row>
    <row r="18" spans="1:5" x14ac:dyDescent="0.25">
      <c r="A18" s="169">
        <v>2017</v>
      </c>
      <c r="B18" s="39"/>
      <c r="C18" s="165"/>
      <c r="D18" s="165">
        <v>350</v>
      </c>
      <c r="E18" s="167"/>
    </row>
    <row r="19" spans="1:5" x14ac:dyDescent="0.25">
      <c r="A19" s="169">
        <v>2018</v>
      </c>
      <c r="B19" s="39"/>
      <c r="C19" s="165"/>
      <c r="D19" s="165">
        <v>350</v>
      </c>
      <c r="E19" s="167"/>
    </row>
    <row r="20" spans="1:5" x14ac:dyDescent="0.25">
      <c r="A20" s="169">
        <v>2019</v>
      </c>
      <c r="B20" s="39"/>
      <c r="C20" s="165"/>
      <c r="D20" s="165">
        <v>350</v>
      </c>
      <c r="E20" s="167"/>
    </row>
    <row r="21" spans="1:5" x14ac:dyDescent="0.25">
      <c r="A21" s="169">
        <v>2020</v>
      </c>
      <c r="B21" s="39"/>
      <c r="C21" s="165"/>
      <c r="D21" s="165">
        <v>350</v>
      </c>
      <c r="E21" s="167"/>
    </row>
    <row r="22" spans="1:5" x14ac:dyDescent="0.25">
      <c r="A22" s="169">
        <v>2021</v>
      </c>
      <c r="B22" s="39"/>
      <c r="C22" s="165"/>
      <c r="D22" s="165">
        <v>350</v>
      </c>
      <c r="E22" s="167"/>
    </row>
    <row r="23" spans="1:5" x14ac:dyDescent="0.25">
      <c r="A23" s="169">
        <v>2022</v>
      </c>
      <c r="B23" s="39"/>
      <c r="C23" s="165"/>
      <c r="D23" s="165">
        <v>350</v>
      </c>
      <c r="E23" s="167"/>
    </row>
    <row r="24" spans="1:5" x14ac:dyDescent="0.25">
      <c r="A24" s="169">
        <v>2023</v>
      </c>
      <c r="B24" s="39"/>
      <c r="C24" s="165"/>
      <c r="D24" s="165">
        <v>350</v>
      </c>
      <c r="E24" s="167"/>
    </row>
    <row r="25" spans="1:5" x14ac:dyDescent="0.25">
      <c r="A25" s="169">
        <v>2024</v>
      </c>
      <c r="B25" s="39"/>
      <c r="C25" s="165"/>
      <c r="D25" s="165">
        <v>350</v>
      </c>
      <c r="E25" s="167"/>
    </row>
    <row r="26" spans="1:5" x14ac:dyDescent="0.25">
      <c r="A26" s="169">
        <v>2025</v>
      </c>
      <c r="B26" s="39"/>
      <c r="C26" s="165"/>
      <c r="D26" s="165">
        <v>233</v>
      </c>
      <c r="E26" s="167"/>
    </row>
    <row r="27" spans="1:5" x14ac:dyDescent="0.25">
      <c r="A27" s="169" t="s">
        <v>115</v>
      </c>
      <c r="B27" s="39"/>
      <c r="C27" s="165"/>
      <c r="D27" s="165">
        <f>SUM(D16:D26)</f>
        <v>3500</v>
      </c>
      <c r="E27" s="167"/>
    </row>
  </sheetData>
  <mergeCells count="2">
    <mergeCell ref="D5:E5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repise immo</vt:lpstr>
      <vt:lpstr>immo</vt:lpstr>
      <vt:lpstr>récap sub invest</vt:lpstr>
      <vt:lpstr>REGION </vt:lpstr>
      <vt:lpstr>ETAT </vt:lpstr>
      <vt:lpstr>DEPARTEMENT</vt:lpstr>
      <vt:lpstr>COMMUNE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 Roche</dc:creator>
  <cp:lastModifiedBy>Martine ROCHE</cp:lastModifiedBy>
  <cp:lastPrinted>2017-11-08T10:17:39Z</cp:lastPrinted>
  <dcterms:created xsi:type="dcterms:W3CDTF">2017-03-08T19:36:50Z</dcterms:created>
  <dcterms:modified xsi:type="dcterms:W3CDTF">2017-11-09T07:50:05Z</dcterms:modified>
</cp:coreProperties>
</file>