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8800" windowHeight="12420" tabRatio="590" activeTab="1"/>
  </bookViews>
  <sheets>
    <sheet name="Prime" sheetId="30" r:id="rId1"/>
    <sheet name="Janvier" sheetId="1" r:id="rId2"/>
  </sheets>
  <calcPr calcId="152511"/>
</workbook>
</file>

<file path=xl/calcChain.xml><?xml version="1.0" encoding="utf-8"?>
<calcChain xmlns="http://schemas.openxmlformats.org/spreadsheetml/2006/main">
  <c r="M5" i="1" l="1"/>
  <c r="M20" i="1"/>
  <c r="M21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2" i="1"/>
  <c r="M23" i="1"/>
  <c r="M24" i="1"/>
  <c r="M25" i="1"/>
  <c r="M26" i="1"/>
  <c r="M27" i="1"/>
  <c r="M28" i="1"/>
  <c r="M29" i="1"/>
  <c r="M30" i="1"/>
  <c r="M31" i="1"/>
  <c r="M32" i="1"/>
  <c r="N4" i="1"/>
  <c r="L4" i="1"/>
  <c r="K4" i="1"/>
  <c r="L17" i="1"/>
  <c r="N10" i="1"/>
  <c r="N11" i="1"/>
  <c r="N5" i="1"/>
  <c r="N6" i="1"/>
  <c r="N7" i="1"/>
  <c r="N8" i="1"/>
  <c r="N9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Q19" i="1"/>
  <c r="Q20" i="1"/>
  <c r="Q21" i="1"/>
  <c r="Q22" i="1"/>
  <c r="Q23" i="1"/>
  <c r="Q24" i="1"/>
  <c r="Q25" i="1"/>
  <c r="N30" i="1" l="1"/>
  <c r="N31" i="1"/>
  <c r="N32" i="1"/>
  <c r="J4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" i="1"/>
  <c r="L27" i="1"/>
  <c r="L28" i="1"/>
  <c r="L29" i="1"/>
  <c r="L12" i="1"/>
  <c r="L13" i="1"/>
  <c r="L14" i="1"/>
  <c r="L15" i="1"/>
  <c r="L16" i="1"/>
  <c r="L18" i="1"/>
  <c r="L19" i="1"/>
  <c r="L20" i="1"/>
  <c r="L21" i="1"/>
  <c r="L22" i="1"/>
  <c r="L23" i="1"/>
  <c r="L24" i="1"/>
  <c r="L25" i="1"/>
  <c r="L26" i="1"/>
  <c r="L5" i="1"/>
  <c r="L6" i="1"/>
  <c r="L7" i="1"/>
  <c r="L8" i="1"/>
  <c r="L9" i="1"/>
  <c r="L10" i="1"/>
  <c r="L11" i="1"/>
  <c r="J6" i="1"/>
  <c r="K14" i="1" l="1"/>
  <c r="K13" i="1"/>
  <c r="K12" i="1"/>
  <c r="K11" i="1"/>
  <c r="K9" i="1"/>
  <c r="K8" i="1"/>
  <c r="K7" i="1"/>
  <c r="K6" i="1"/>
  <c r="K5" i="1"/>
  <c r="K10" i="1"/>
  <c r="K15" i="1"/>
  <c r="C44" i="1" l="1"/>
  <c r="C46" i="1" s="1"/>
  <c r="M33" i="1" l="1"/>
  <c r="M34" i="1"/>
  <c r="M35" i="1"/>
  <c r="M36" i="1"/>
  <c r="M37" i="1"/>
  <c r="K16" i="1" l="1"/>
  <c r="K17" i="1"/>
  <c r="K18" i="1"/>
  <c r="K19" i="1"/>
  <c r="K20" i="1"/>
  <c r="F23" i="1" l="1"/>
  <c r="F22" i="1"/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L35" i="1"/>
  <c r="L34" i="1"/>
  <c r="L33" i="1"/>
  <c r="L32" i="1"/>
  <c r="L31" i="1"/>
  <c r="L30" i="1"/>
  <c r="I4" i="1" l="1"/>
  <c r="F4" i="1"/>
  <c r="I20" i="1" l="1"/>
  <c r="F20" i="1"/>
  <c r="F26" i="1" l="1"/>
  <c r="I22" i="1"/>
  <c r="I19" i="1"/>
  <c r="F19" i="1"/>
  <c r="I26" i="1" l="1"/>
  <c r="I25" i="1"/>
  <c r="I23" i="1"/>
  <c r="I5" i="1" l="1"/>
  <c r="Q7" i="1" l="1"/>
  <c r="Q8" i="1"/>
  <c r="Q9" i="1"/>
  <c r="Q10" i="1"/>
  <c r="Q11" i="1"/>
  <c r="Q12" i="1"/>
  <c r="Q13" i="1"/>
  <c r="Q14" i="1"/>
  <c r="Q15" i="1"/>
  <c r="Q16" i="1"/>
  <c r="Q17" i="1"/>
  <c r="Q18" i="1"/>
  <c r="R19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I34" i="1"/>
  <c r="I6" i="1"/>
  <c r="I17" i="1"/>
  <c r="I14" i="1"/>
  <c r="F14" i="1"/>
  <c r="F25" i="1"/>
  <c r="D4" i="30" l="1"/>
  <c r="I4" i="30"/>
  <c r="H4" i="30" l="1"/>
  <c r="G4" i="30"/>
  <c r="N44" i="1" l="1"/>
  <c r="B4" i="30"/>
  <c r="F4" i="30" l="1"/>
  <c r="E4" i="30"/>
  <c r="L44" i="1" l="1"/>
  <c r="P5" i="1"/>
  <c r="P44" i="1" s="1"/>
  <c r="I7" i="1"/>
  <c r="F35" i="1"/>
  <c r="I42" i="1"/>
  <c r="I41" i="1"/>
  <c r="I18" i="1"/>
  <c r="I39" i="1"/>
  <c r="I38" i="1"/>
  <c r="I24" i="1"/>
  <c r="I36" i="1"/>
  <c r="I35" i="1"/>
  <c r="I33" i="1"/>
  <c r="I32" i="1"/>
  <c r="I31" i="1"/>
  <c r="I30" i="1"/>
  <c r="I29" i="1"/>
  <c r="I28" i="1"/>
  <c r="I13" i="1"/>
  <c r="I11" i="1"/>
  <c r="I10" i="1"/>
  <c r="I8" i="1"/>
  <c r="F42" i="1"/>
  <c r="F41" i="1"/>
  <c r="F18" i="1"/>
  <c r="F39" i="1"/>
  <c r="F38" i="1"/>
  <c r="F24" i="1"/>
  <c r="F36" i="1"/>
  <c r="F34" i="1"/>
  <c r="F33" i="1"/>
  <c r="F32" i="1"/>
  <c r="F31" i="1"/>
  <c r="F30" i="1"/>
  <c r="F29" i="1"/>
  <c r="F28" i="1"/>
  <c r="F7" i="1"/>
  <c r="F13" i="1"/>
  <c r="F11" i="1"/>
  <c r="F10" i="1"/>
  <c r="F8" i="1"/>
  <c r="F6" i="1"/>
  <c r="S44" i="1"/>
  <c r="R42" i="1"/>
  <c r="T42" i="1" s="1"/>
  <c r="R41" i="1"/>
  <c r="T41" i="1" s="1"/>
  <c r="R40" i="1"/>
  <c r="T40" i="1" s="1"/>
  <c r="R39" i="1"/>
  <c r="T39" i="1" s="1"/>
  <c r="R38" i="1"/>
  <c r="T38" i="1" s="1"/>
  <c r="R37" i="1"/>
  <c r="T37" i="1" s="1"/>
  <c r="R36" i="1"/>
  <c r="T36" i="1" s="1"/>
  <c r="R35" i="1"/>
  <c r="T35" i="1" s="1"/>
  <c r="R34" i="1"/>
  <c r="T34" i="1" s="1"/>
  <c r="R33" i="1"/>
  <c r="T33" i="1" s="1"/>
  <c r="R32" i="1"/>
  <c r="T32" i="1" s="1"/>
  <c r="R31" i="1"/>
  <c r="T31" i="1" s="1"/>
  <c r="R30" i="1"/>
  <c r="T30" i="1" s="1"/>
  <c r="R29" i="1"/>
  <c r="T29" i="1" s="1"/>
  <c r="R28" i="1"/>
  <c r="T28" i="1" s="1"/>
  <c r="R27" i="1"/>
  <c r="T27" i="1" s="1"/>
  <c r="R25" i="1"/>
  <c r="T25" i="1" s="1"/>
  <c r="R24" i="1"/>
  <c r="T24" i="1" s="1"/>
  <c r="T19" i="1"/>
  <c r="R18" i="1"/>
  <c r="T18" i="1" s="1"/>
  <c r="R17" i="1"/>
  <c r="T17" i="1" s="1"/>
  <c r="R14" i="1"/>
  <c r="T14" i="1" s="1"/>
  <c r="R13" i="1"/>
  <c r="T13" i="1" s="1"/>
  <c r="R12" i="1"/>
  <c r="T12" i="1" s="1"/>
  <c r="R11" i="1"/>
  <c r="T11" i="1" s="1"/>
  <c r="R10" i="1"/>
  <c r="T10" i="1" s="1"/>
  <c r="R9" i="1"/>
  <c r="T9" i="1" s="1"/>
  <c r="R8" i="1"/>
  <c r="T8" i="1" s="1"/>
  <c r="R7" i="1"/>
  <c r="T7" i="1" s="1"/>
  <c r="Q6" i="1"/>
  <c r="O44" i="1"/>
  <c r="R6" i="1" l="1"/>
  <c r="T6" i="1" s="1"/>
  <c r="K44" i="1" l="1"/>
  <c r="J44" i="1"/>
  <c r="F5" i="1"/>
  <c r="Q5" i="1"/>
  <c r="R5" i="1" s="1"/>
  <c r="T5" i="1" l="1"/>
  <c r="R44" i="1"/>
  <c r="T44" i="1" s="1"/>
  <c r="Q44" i="1"/>
  <c r="Q48" i="1" s="1"/>
  <c r="R48" i="1" s="1"/>
  <c r="M39" i="1"/>
  <c r="M41" i="1"/>
  <c r="M40" i="1"/>
  <c r="M42" i="1"/>
  <c r="M38" i="1"/>
  <c r="M44" i="1" l="1"/>
</calcChain>
</file>

<file path=xl/sharedStrings.xml><?xml version="1.0" encoding="utf-8"?>
<sst xmlns="http://schemas.openxmlformats.org/spreadsheetml/2006/main" count="70" uniqueCount="58">
  <si>
    <t>CC</t>
  </si>
  <si>
    <t>MATIN</t>
  </si>
  <si>
    <t>APRES MIDI</t>
  </si>
  <si>
    <t>JANVIER</t>
  </si>
  <si>
    <t>Temps</t>
  </si>
  <si>
    <t>TOTAL</t>
  </si>
  <si>
    <t>Service</t>
  </si>
  <si>
    <t>RTT</t>
  </si>
  <si>
    <t>Heures Supp</t>
  </si>
  <si>
    <t>Kéolis</t>
  </si>
  <si>
    <t>Heures</t>
  </si>
  <si>
    <t>Centièmes</t>
  </si>
  <si>
    <t>Différence</t>
  </si>
  <si>
    <t>FERIE</t>
  </si>
  <si>
    <t>314-4</t>
  </si>
  <si>
    <t>862-15</t>
  </si>
  <si>
    <t>805-1</t>
  </si>
  <si>
    <t>Date</t>
  </si>
  <si>
    <t>Jours travaillés</t>
  </si>
  <si>
    <t>748-8(MSH)</t>
  </si>
  <si>
    <t>739-5(MSH)</t>
  </si>
  <si>
    <t>50RE(MSH)</t>
  </si>
  <si>
    <t>PJ1</t>
  </si>
  <si>
    <t>PJ2</t>
  </si>
  <si>
    <t>VP</t>
  </si>
  <si>
    <t>Dimanche</t>
  </si>
  <si>
    <t>Sal+Ancien</t>
  </si>
  <si>
    <t>905-1</t>
  </si>
  <si>
    <t>Dim Dem</t>
  </si>
  <si>
    <t>850-24(MSH)</t>
  </si>
  <si>
    <t>803-9</t>
  </si>
  <si>
    <t>Prime de nuit</t>
  </si>
  <si>
    <t>Nuit</t>
  </si>
  <si>
    <t>CP</t>
  </si>
  <si>
    <t>350-8</t>
  </si>
  <si>
    <t>450-1</t>
  </si>
  <si>
    <t>vendredi 27/01/2017</t>
  </si>
  <si>
    <t>mercredi 25 janvier 2017</t>
  </si>
  <si>
    <t>samedi 28 janvier 2017</t>
  </si>
  <si>
    <t>mardi 24 janvier 2017</t>
  </si>
  <si>
    <t>dimanche 17janvier 2017</t>
  </si>
  <si>
    <t>dimanche 16 janvier 2017</t>
  </si>
  <si>
    <t>samedi 14 janvier 2017</t>
  </si>
  <si>
    <t>vendredi 27 janvier</t>
  </si>
  <si>
    <t>925-4</t>
  </si>
  <si>
    <t>dimanche 15 janvier 2017</t>
  </si>
  <si>
    <t>952-3 CDS</t>
  </si>
  <si>
    <t>512-15 Fe</t>
  </si>
  <si>
    <t>101-1 Férié</t>
  </si>
  <si>
    <t>FériéE(CC)</t>
  </si>
  <si>
    <t>Férié(CC)</t>
  </si>
  <si>
    <t>dimanche</t>
  </si>
  <si>
    <t>lundi 3janvier</t>
  </si>
  <si>
    <t xml:space="preserve">d 744-5 </t>
  </si>
  <si>
    <t>s 520-1</t>
  </si>
  <si>
    <t>s Férié(CC)</t>
  </si>
  <si>
    <t>d CC</t>
  </si>
  <si>
    <t>d CC Ferié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</si>
</sst>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h:mm;@"/>
    <numFmt numFmtId="165" formatCode="[h]:mm;@"/>
    <numFmt numFmtId="166" formatCode="0.00;[Red]0.00"/>
    <numFmt numFmtId="167" formatCode="[h]:mm"/>
    <numFmt numFmtId="168" formatCode="0.000;[Red]0.000"/>
    <numFmt numFmtId="169" formatCode="0.000_ ;[Red]\-0.000\ "/>
    <numFmt numFmtId="170" formatCode="#,##0.00\ &quot;€&quot;"/>
    <numFmt numFmtId="171" formatCode="[$-F800]dddd\,\ mmmm\ dd\,\ yyyy"/>
    <numFmt numFmtId="172" formatCode="#,##0.00\ _€;[Red]#,##0.00\ _€"/>
    <numFmt numFmtId="173" formatCode="#,##0.00\ &quot;€&quot;;[Red]#,##0.00\ &quot;€&quot;"/>
    <numFmt numFmtId="174" formatCode="[$-40C]dddd\ d\ mmmm\ yyyy"/>
  </numFmts>
  <fonts count="4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sz val="11"/>
      <color theme="1"/>
      <name val="Times New Roman"/>
      <family val="1"/>
    </font>
    <font>
      <sz val="11"/>
      <color theme="8"/>
      <name val="Calibri"/>
      <family val="2"/>
      <scheme val="minor"/>
    </font>
    <font>
      <b/>
      <sz val="11"/>
      <color theme="5" tint="-0.499984740745262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1"/>
      <color rgb="FF7030A0"/>
      <name val="Times New Roman"/>
      <family val="1"/>
    </font>
    <font>
      <b/>
      <sz val="11"/>
      <color theme="5"/>
      <name val="Times New Roman"/>
      <family val="1"/>
    </font>
    <font>
      <b/>
      <sz val="11"/>
      <color rgb="FF00B050"/>
      <name val="Times New Roman"/>
      <family val="1"/>
    </font>
    <font>
      <b/>
      <i/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9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0070C0"/>
      <name val="Times New Roman"/>
      <family val="1"/>
    </font>
    <font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12"/>
      <name val="Times New Roman"/>
      <family val="1"/>
    </font>
    <font>
      <b/>
      <sz val="12"/>
      <color theme="9"/>
      <name val="Times New Roman"/>
      <family val="1"/>
    </font>
    <font>
      <i/>
      <sz val="11"/>
      <color theme="0"/>
      <name val="Times New Roman"/>
      <family val="1"/>
    </font>
    <font>
      <b/>
      <sz val="11"/>
      <color rgb="FFFFC00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b/>
      <i/>
      <sz val="11"/>
      <color rgb="FF0070C0"/>
      <name val="Times New Roman"/>
      <family val="1"/>
    </font>
    <font>
      <b/>
      <sz val="11"/>
      <color rgb="FF92D050"/>
      <name val="Times New Roman"/>
      <family val="1"/>
    </font>
    <font>
      <sz val="11"/>
      <name val="Times New Roman"/>
      <family val="1"/>
    </font>
    <font>
      <b/>
      <sz val="12"/>
      <color rgb="FF92D050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rgb="FF38572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1" applyBorder="0">
      <alignment horizontal="center"/>
    </xf>
    <xf numFmtId="0" fontId="23" fillId="0" borderId="0" applyNumberFormat="0" applyFill="0" applyBorder="0" applyAlignment="0" applyProtection="0"/>
  </cellStyleXfs>
  <cellXfs count="2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8" fontId="11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6" fontId="0" fillId="0" borderId="0" xfId="0" applyNumberFormat="1" applyFont="1"/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8" fontId="7" fillId="0" borderId="10" xfId="0" applyNumberFormat="1" applyFont="1" applyBorder="1" applyAlignment="1">
      <alignment horizontal="center"/>
    </xf>
    <xf numFmtId="169" fontId="15" fillId="0" borderId="14" xfId="0" applyNumberFormat="1" applyFont="1" applyBorder="1" applyAlignment="1">
      <alignment horizontal="center"/>
    </xf>
    <xf numFmtId="171" fontId="5" fillId="0" borderId="3" xfId="0" applyNumberFormat="1" applyFont="1" applyBorder="1" applyAlignment="1">
      <alignment horizontal="left"/>
    </xf>
    <xf numFmtId="168" fontId="7" fillId="0" borderId="11" xfId="0" applyNumberFormat="1" applyFont="1" applyBorder="1" applyAlignment="1">
      <alignment horizontal="center"/>
    </xf>
    <xf numFmtId="168" fontId="7" fillId="0" borderId="12" xfId="0" applyNumberFormat="1" applyFont="1" applyBorder="1" applyAlignment="1">
      <alignment horizontal="center"/>
    </xf>
    <xf numFmtId="169" fontId="15" fillId="0" borderId="15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169" fontId="15" fillId="0" borderId="0" xfId="0" applyNumberFormat="1" applyFont="1" applyBorder="1" applyAlignment="1">
      <alignment horizontal="center"/>
    </xf>
    <xf numFmtId="20" fontId="14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169" fontId="1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167" fontId="11" fillId="2" borderId="0" xfId="0" applyNumberFormat="1" applyFont="1" applyFill="1" applyAlignment="1">
      <alignment horizontal="center"/>
    </xf>
    <xf numFmtId="167" fontId="11" fillId="3" borderId="0" xfId="0" applyNumberFormat="1" applyFont="1" applyFill="1" applyAlignment="1">
      <alignment horizontal="center"/>
    </xf>
    <xf numFmtId="168" fontId="11" fillId="3" borderId="0" xfId="0" applyNumberFormat="1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/>
    </xf>
    <xf numFmtId="173" fontId="19" fillId="0" borderId="0" xfId="0" applyNumberFormat="1" applyFont="1" applyAlignment="1">
      <alignment horizontal="center"/>
    </xf>
    <xf numFmtId="173" fontId="20" fillId="0" borderId="0" xfId="0" applyNumberFormat="1" applyFont="1" applyAlignment="1">
      <alignment horizontal="center"/>
    </xf>
    <xf numFmtId="0" fontId="11" fillId="3" borderId="0" xfId="0" applyFont="1" applyFill="1" applyAlignment="1"/>
    <xf numFmtId="0" fontId="11" fillId="2" borderId="0" xfId="0" applyFont="1" applyFill="1" applyAlignment="1"/>
    <xf numFmtId="173" fontId="0" fillId="0" borderId="0" xfId="0" applyNumberFormat="1" applyFont="1"/>
    <xf numFmtId="20" fontId="5" fillId="0" borderId="0" xfId="0" applyNumberFormat="1" applyFont="1" applyAlignment="1">
      <alignment horizontal="center"/>
    </xf>
    <xf numFmtId="20" fontId="17" fillId="0" borderId="18" xfId="0" applyNumberFormat="1" applyFont="1" applyBorder="1" applyAlignment="1">
      <alignment horizontal="center"/>
    </xf>
    <xf numFmtId="20" fontId="17" fillId="0" borderId="19" xfId="0" applyNumberFormat="1" applyFont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11" fillId="3" borderId="0" xfId="0" applyFont="1" applyFill="1" applyAlignment="1"/>
    <xf numFmtId="0" fontId="11" fillId="2" borderId="0" xfId="0" applyFont="1" applyFill="1" applyAlignment="1"/>
    <xf numFmtId="0" fontId="23" fillId="0" borderId="0" xfId="2" applyAlignment="1">
      <alignment horizontal="center"/>
    </xf>
    <xf numFmtId="173" fontId="20" fillId="0" borderId="17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0" fontId="9" fillId="0" borderId="32" xfId="0" applyFont="1" applyBorder="1"/>
    <xf numFmtId="0" fontId="12" fillId="0" borderId="21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2" fontId="22" fillId="0" borderId="33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72" fontId="17" fillId="0" borderId="0" xfId="0" applyNumberFormat="1" applyFont="1" applyAlignment="1">
      <alignment horizontal="center"/>
    </xf>
    <xf numFmtId="0" fontId="9" fillId="0" borderId="33" xfId="0" applyFont="1" applyBorder="1" applyAlignment="1">
      <alignment horizontal="center"/>
    </xf>
    <xf numFmtId="0" fontId="23" fillId="0" borderId="0" xfId="2"/>
    <xf numFmtId="171" fontId="25" fillId="5" borderId="3" xfId="0" applyNumberFormat="1" applyFont="1" applyFill="1" applyBorder="1" applyAlignment="1">
      <alignment horizontal="left"/>
    </xf>
    <xf numFmtId="0" fontId="25" fillId="6" borderId="0" xfId="0" applyFont="1" applyFill="1" applyAlignment="1">
      <alignment horizontal="center"/>
    </xf>
    <xf numFmtId="2" fontId="25" fillId="6" borderId="6" xfId="0" applyNumberFormat="1" applyFont="1" applyFill="1" applyBorder="1" applyAlignment="1">
      <alignment horizontal="center"/>
    </xf>
    <xf numFmtId="2" fontId="25" fillId="6" borderId="29" xfId="0" applyNumberFormat="1" applyFont="1" applyFill="1" applyBorder="1" applyAlignment="1">
      <alignment horizontal="center"/>
    </xf>
    <xf numFmtId="168" fontId="27" fillId="6" borderId="11" xfId="0" applyNumberFormat="1" applyFont="1" applyFill="1" applyBorder="1" applyAlignment="1">
      <alignment horizontal="center"/>
    </xf>
    <xf numFmtId="169" fontId="27" fillId="6" borderId="14" xfId="0" applyNumberFormat="1" applyFont="1" applyFill="1" applyBorder="1" applyAlignment="1">
      <alignment horizontal="center"/>
    </xf>
    <xf numFmtId="0" fontId="28" fillId="6" borderId="0" xfId="0" applyFont="1" applyFill="1"/>
    <xf numFmtId="173" fontId="20" fillId="0" borderId="37" xfId="0" applyNumberFormat="1" applyFont="1" applyBorder="1" applyAlignment="1">
      <alignment horizontal="center"/>
    </xf>
    <xf numFmtId="173" fontId="20" fillId="0" borderId="31" xfId="0" applyNumberFormat="1" applyFont="1" applyBorder="1" applyAlignment="1">
      <alignment horizontal="center"/>
    </xf>
    <xf numFmtId="166" fontId="15" fillId="0" borderId="9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27" fillId="6" borderId="11" xfId="0" applyNumberFormat="1" applyFont="1" applyFill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170" fontId="24" fillId="0" borderId="25" xfId="0" applyNumberFormat="1" applyFont="1" applyBorder="1" applyAlignment="1">
      <alignment horizontal="center"/>
    </xf>
    <xf numFmtId="2" fontId="8" fillId="0" borderId="25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2" fontId="30" fillId="0" borderId="35" xfId="0" applyNumberFormat="1" applyFont="1" applyBorder="1" applyAlignment="1">
      <alignment horizontal="center"/>
    </xf>
    <xf numFmtId="2" fontId="23" fillId="0" borderId="27" xfId="2" applyNumberForma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21" fillId="8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171" fontId="5" fillId="2" borderId="3" xfId="0" applyNumberFormat="1" applyFont="1" applyFill="1" applyBorder="1" applyAlignment="1">
      <alignment horizontal="left"/>
    </xf>
    <xf numFmtId="171" fontId="5" fillId="9" borderId="3" xfId="0" applyNumberFormat="1" applyFont="1" applyFill="1" applyBorder="1" applyAlignment="1">
      <alignment horizontal="left"/>
    </xf>
    <xf numFmtId="171" fontId="5" fillId="0" borderId="3" xfId="0" applyNumberFormat="1" applyFont="1" applyFill="1" applyBorder="1" applyAlignment="1">
      <alignment horizontal="left"/>
    </xf>
    <xf numFmtId="173" fontId="20" fillId="0" borderId="37" xfId="0" applyNumberFormat="1" applyFont="1" applyFill="1" applyBorder="1" applyAlignment="1">
      <alignment horizontal="center"/>
    </xf>
    <xf numFmtId="173" fontId="27" fillId="0" borderId="37" xfId="0" applyNumberFormat="1" applyFont="1" applyFill="1" applyBorder="1" applyAlignment="1">
      <alignment horizontal="center"/>
    </xf>
    <xf numFmtId="0" fontId="5" fillId="0" borderId="0" xfId="0" applyFont="1"/>
    <xf numFmtId="2" fontId="5" fillId="0" borderId="0" xfId="0" applyNumberFormat="1" applyFont="1" applyAlignment="1">
      <alignment horizontal="center"/>
    </xf>
    <xf numFmtId="0" fontId="33" fillId="0" borderId="34" xfId="0" applyFont="1" applyBorder="1" applyAlignment="1">
      <alignment horizontal="center"/>
    </xf>
    <xf numFmtId="171" fontId="34" fillId="3" borderId="3" xfId="0" applyNumberFormat="1" applyFont="1" applyFill="1" applyBorder="1" applyAlignment="1">
      <alignment horizontal="left"/>
    </xf>
    <xf numFmtId="0" fontId="36" fillId="0" borderId="16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0" fontId="5" fillId="7" borderId="11" xfId="0" applyNumberFormat="1" applyFont="1" applyFill="1" applyBorder="1" applyAlignment="1">
      <alignment horizontal="center"/>
    </xf>
    <xf numFmtId="20" fontId="16" fillId="7" borderId="11" xfId="0" applyNumberFormat="1" applyFont="1" applyFill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20" fontId="5" fillId="0" borderId="11" xfId="0" applyNumberFormat="1" applyFont="1" applyBorder="1" applyAlignment="1">
      <alignment horizontal="center"/>
    </xf>
    <xf numFmtId="20" fontId="16" fillId="0" borderId="11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0" fontId="17" fillId="9" borderId="41" xfId="0" applyNumberFormat="1" applyFont="1" applyFill="1" applyBorder="1" applyAlignment="1">
      <alignment horizontal="center"/>
    </xf>
    <xf numFmtId="20" fontId="17" fillId="9" borderId="11" xfId="0" applyNumberFormat="1" applyFont="1" applyFill="1" applyBorder="1" applyAlignment="1">
      <alignment horizontal="center"/>
    </xf>
    <xf numFmtId="20" fontId="16" fillId="9" borderId="11" xfId="0" applyNumberFormat="1" applyFont="1" applyFill="1" applyBorder="1" applyAlignment="1">
      <alignment horizontal="center"/>
    </xf>
    <xf numFmtId="20" fontId="5" fillId="9" borderId="41" xfId="0" applyNumberFormat="1" applyFont="1" applyFill="1" applyBorder="1" applyAlignment="1">
      <alignment horizontal="center"/>
    </xf>
    <xf numFmtId="20" fontId="5" fillId="9" borderId="11" xfId="0" applyNumberFormat="1" applyFont="1" applyFill="1" applyBorder="1" applyAlignment="1">
      <alignment horizontal="center"/>
    </xf>
    <xf numFmtId="20" fontId="5" fillId="2" borderId="41" xfId="0" applyNumberFormat="1" applyFont="1" applyFill="1" applyBorder="1" applyAlignment="1">
      <alignment horizontal="center"/>
    </xf>
    <xf numFmtId="20" fontId="5" fillId="2" borderId="11" xfId="0" applyNumberFormat="1" applyFont="1" applyFill="1" applyBorder="1" applyAlignment="1">
      <alignment horizontal="center"/>
    </xf>
    <xf numFmtId="20" fontId="16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20" fontId="5" fillId="0" borderId="11" xfId="0" applyNumberFormat="1" applyFont="1" applyFill="1" applyBorder="1" applyAlignment="1">
      <alignment horizontal="center"/>
    </xf>
    <xf numFmtId="20" fontId="25" fillId="5" borderId="41" xfId="0" applyNumberFormat="1" applyFont="1" applyFill="1" applyBorder="1" applyAlignment="1">
      <alignment horizontal="center"/>
    </xf>
    <xf numFmtId="20" fontId="25" fillId="5" borderId="11" xfId="0" applyNumberFormat="1" applyFont="1" applyFill="1" applyBorder="1" applyAlignment="1">
      <alignment horizontal="center"/>
    </xf>
    <xf numFmtId="20" fontId="26" fillId="5" borderId="11" xfId="0" applyNumberFormat="1" applyFont="1" applyFill="1" applyBorder="1" applyAlignment="1">
      <alignment horizontal="center"/>
    </xf>
    <xf numFmtId="20" fontId="34" fillId="3" borderId="41" xfId="0" applyNumberFormat="1" applyFont="1" applyFill="1" applyBorder="1" applyAlignment="1">
      <alignment horizontal="center"/>
    </xf>
    <xf numFmtId="20" fontId="34" fillId="3" borderId="11" xfId="0" applyNumberFormat="1" applyFont="1" applyFill="1" applyBorder="1" applyAlignment="1">
      <alignment horizontal="center"/>
    </xf>
    <xf numFmtId="20" fontId="35" fillId="3" borderId="11" xfId="0" applyNumberFormat="1" applyFont="1" applyFill="1" applyBorder="1" applyAlignment="1">
      <alignment horizontal="center"/>
    </xf>
    <xf numFmtId="20" fontId="5" fillId="0" borderId="41" xfId="0" applyNumberFormat="1" applyFont="1" applyFill="1" applyBorder="1" applyAlignment="1">
      <alignment horizontal="center"/>
    </xf>
    <xf numFmtId="20" fontId="16" fillId="0" borderId="11" xfId="0" applyNumberFormat="1" applyFont="1" applyFill="1" applyBorder="1" applyAlignment="1">
      <alignment horizontal="center"/>
    </xf>
    <xf numFmtId="0" fontId="0" fillId="0" borderId="11" xfId="0" applyFont="1" applyBorder="1"/>
    <xf numFmtId="0" fontId="28" fillId="6" borderId="11" xfId="0" applyFont="1" applyFill="1" applyBorder="1"/>
    <xf numFmtId="20" fontId="5" fillId="0" borderId="43" xfId="0" applyNumberFormat="1" applyFont="1" applyBorder="1" applyAlignment="1">
      <alignment horizontal="center"/>
    </xf>
    <xf numFmtId="20" fontId="5" fillId="0" borderId="12" xfId="0" applyNumberFormat="1" applyFont="1" applyBorder="1" applyAlignment="1">
      <alignment horizontal="center"/>
    </xf>
    <xf numFmtId="20" fontId="16" fillId="0" borderId="12" xfId="0" applyNumberFormat="1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0" fillId="0" borderId="41" xfId="0" applyFont="1" applyBorder="1"/>
    <xf numFmtId="0" fontId="28" fillId="6" borderId="41" xfId="0" applyFont="1" applyFill="1" applyBorder="1"/>
    <xf numFmtId="14" fontId="5" fillId="7" borderId="45" xfId="0" applyNumberFormat="1" applyFont="1" applyFill="1" applyBorder="1" applyAlignment="1">
      <alignment horizontal="center"/>
    </xf>
    <xf numFmtId="14" fontId="5" fillId="0" borderId="45" xfId="0" applyNumberFormat="1" applyFont="1" applyBorder="1" applyAlignment="1">
      <alignment horizontal="center"/>
    </xf>
    <xf numFmtId="14" fontId="5" fillId="9" borderId="45" xfId="0" applyNumberFormat="1" applyFont="1" applyFill="1" applyBorder="1" applyAlignment="1">
      <alignment horizontal="center"/>
    </xf>
    <xf numFmtId="14" fontId="5" fillId="2" borderId="45" xfId="0" applyNumberFormat="1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14" fontId="25" fillId="5" borderId="45" xfId="0" applyNumberFormat="1" applyFont="1" applyFill="1" applyBorder="1" applyAlignment="1">
      <alignment horizontal="center"/>
    </xf>
    <xf numFmtId="14" fontId="34" fillId="3" borderId="45" xfId="0" applyNumberFormat="1" applyFont="1" applyFill="1" applyBorder="1" applyAlignment="1">
      <alignment horizontal="center"/>
    </xf>
    <xf numFmtId="14" fontId="5" fillId="0" borderId="45" xfId="0" applyNumberFormat="1" applyFont="1" applyFill="1" applyBorder="1" applyAlignment="1">
      <alignment horizontal="center"/>
    </xf>
    <xf numFmtId="0" fontId="0" fillId="0" borderId="45" xfId="0" applyFont="1" applyBorder="1"/>
    <xf numFmtId="0" fontId="28" fillId="6" borderId="45" xfId="0" applyFont="1" applyFill="1" applyBorder="1"/>
    <xf numFmtId="14" fontId="5" fillId="0" borderId="46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71" fontId="5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20" fontId="16" fillId="0" borderId="0" xfId="0" applyNumberFormat="1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166" fontId="7" fillId="0" borderId="50" xfId="0" applyNumberFormat="1" applyFont="1" applyBorder="1" applyAlignment="1">
      <alignment horizontal="center"/>
    </xf>
    <xf numFmtId="166" fontId="15" fillId="0" borderId="51" xfId="0" applyNumberFormat="1" applyFont="1" applyBorder="1" applyAlignment="1">
      <alignment horizontal="center"/>
    </xf>
    <xf numFmtId="20" fontId="11" fillId="7" borderId="42" xfId="0" applyNumberFormat="1" applyFont="1" applyFill="1" applyBorder="1" applyAlignment="1">
      <alignment horizontal="center"/>
    </xf>
    <xf numFmtId="20" fontId="5" fillId="7" borderId="40" xfId="0" applyNumberFormat="1" applyFont="1" applyFill="1" applyBorder="1" applyAlignment="1">
      <alignment horizontal="center"/>
    </xf>
    <xf numFmtId="20" fontId="5" fillId="7" borderId="10" xfId="0" applyNumberFormat="1" applyFont="1" applyFill="1" applyBorder="1" applyAlignment="1">
      <alignment horizontal="center"/>
    </xf>
    <xf numFmtId="20" fontId="5" fillId="7" borderId="19" xfId="0" applyNumberFormat="1" applyFont="1" applyFill="1" applyBorder="1" applyAlignment="1">
      <alignment horizontal="center"/>
    </xf>
    <xf numFmtId="20" fontId="5" fillId="0" borderId="53" xfId="0" applyNumberFormat="1" applyFont="1" applyBorder="1" applyAlignment="1">
      <alignment horizontal="center"/>
    </xf>
    <xf numFmtId="20" fontId="5" fillId="0" borderId="40" xfId="0" applyNumberFormat="1" applyFont="1" applyBorder="1" applyAlignment="1">
      <alignment horizontal="center"/>
    </xf>
    <xf numFmtId="20" fontId="16" fillId="9" borderId="42" xfId="0" applyNumberFormat="1" applyFont="1" applyFill="1" applyBorder="1" applyAlignment="1">
      <alignment horizontal="center"/>
    </xf>
    <xf numFmtId="20" fontId="17" fillId="9" borderId="44" xfId="0" applyNumberFormat="1" applyFont="1" applyFill="1" applyBorder="1" applyAlignment="1">
      <alignment horizontal="center"/>
    </xf>
    <xf numFmtId="20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20" fontId="5" fillId="9" borderId="56" xfId="0" applyNumberFormat="1" applyFont="1" applyFill="1" applyBorder="1" applyAlignment="1">
      <alignment horizontal="center"/>
    </xf>
    <xf numFmtId="20" fontId="16" fillId="0" borderId="40" xfId="0" applyNumberFormat="1" applyFont="1" applyBorder="1" applyAlignment="1">
      <alignment horizontal="center"/>
    </xf>
    <xf numFmtId="20" fontId="37" fillId="0" borderId="11" xfId="0" applyNumberFormat="1" applyFont="1" applyFill="1" applyBorder="1" applyAlignment="1">
      <alignment horizontal="center"/>
    </xf>
    <xf numFmtId="20" fontId="34" fillId="3" borderId="10" xfId="0" applyNumberFormat="1" applyFont="1" applyFill="1" applyBorder="1" applyAlignment="1">
      <alignment horizontal="center"/>
    </xf>
    <xf numFmtId="20" fontId="34" fillId="3" borderId="42" xfId="0" applyNumberFormat="1" applyFont="1" applyFill="1" applyBorder="1" applyAlignment="1">
      <alignment horizontal="center"/>
    </xf>
    <xf numFmtId="20" fontId="35" fillId="3" borderId="19" xfId="0" applyNumberFormat="1" applyFont="1" applyFill="1" applyBorder="1" applyAlignment="1">
      <alignment horizontal="center"/>
    </xf>
    <xf numFmtId="20" fontId="17" fillId="7" borderId="52" xfId="0" applyNumberFormat="1" applyFont="1" applyFill="1" applyBorder="1" applyAlignment="1">
      <alignment horizontal="center"/>
    </xf>
    <xf numFmtId="20" fontId="5" fillId="7" borderId="57" xfId="0" applyNumberFormat="1" applyFont="1" applyFill="1" applyBorder="1" applyAlignment="1">
      <alignment horizontal="center"/>
    </xf>
    <xf numFmtId="14" fontId="5" fillId="7" borderId="58" xfId="0" applyNumberFormat="1" applyFont="1" applyFill="1" applyBorder="1" applyAlignment="1">
      <alignment horizontal="center"/>
    </xf>
    <xf numFmtId="20" fontId="18" fillId="7" borderId="59" xfId="0" applyNumberFormat="1" applyFont="1" applyFill="1" applyBorder="1" applyAlignment="1">
      <alignment horizontal="center"/>
    </xf>
    <xf numFmtId="20" fontId="16" fillId="9" borderId="19" xfId="0" applyNumberFormat="1" applyFont="1" applyFill="1" applyBorder="1" applyAlignment="1">
      <alignment horizontal="center"/>
    </xf>
    <xf numFmtId="20" fontId="18" fillId="9" borderId="59" xfId="0" applyNumberFormat="1" applyFont="1" applyFill="1" applyBorder="1" applyAlignment="1">
      <alignment horizontal="center"/>
    </xf>
    <xf numFmtId="20" fontId="17" fillId="9" borderId="59" xfId="0" applyNumberFormat="1" applyFont="1" applyFill="1" applyBorder="1" applyAlignment="1">
      <alignment horizontal="center"/>
    </xf>
    <xf numFmtId="20" fontId="5" fillId="2" borderId="42" xfId="0" applyNumberFormat="1" applyFont="1" applyFill="1" applyBorder="1" applyAlignment="1">
      <alignment horizontal="center"/>
    </xf>
    <xf numFmtId="20" fontId="16" fillId="2" borderId="19" xfId="0" applyNumberFormat="1" applyFont="1" applyFill="1" applyBorder="1" applyAlignment="1">
      <alignment horizontal="center"/>
    </xf>
    <xf numFmtId="20" fontId="18" fillId="2" borderId="59" xfId="0" applyNumberFormat="1" applyFont="1" applyFill="1" applyBorder="1" applyAlignment="1">
      <alignment horizontal="center"/>
    </xf>
    <xf numFmtId="20" fontId="18" fillId="0" borderId="10" xfId="0" applyNumberFormat="1" applyFont="1" applyFill="1" applyBorder="1" applyAlignment="1">
      <alignment horizontal="center"/>
    </xf>
    <xf numFmtId="20" fontId="16" fillId="7" borderId="60" xfId="0" applyNumberFormat="1" applyFont="1" applyFill="1" applyBorder="1" applyAlignment="1">
      <alignment horizontal="center"/>
    </xf>
    <xf numFmtId="20" fontId="16" fillId="7" borderId="42" xfId="0" applyNumberFormat="1" applyFont="1" applyFill="1" applyBorder="1" applyAlignment="1">
      <alignment horizontal="center"/>
    </xf>
    <xf numFmtId="20" fontId="35" fillId="3" borderId="59" xfId="0" applyNumberFormat="1" applyFont="1" applyFill="1" applyBorder="1" applyAlignment="1">
      <alignment horizontal="center"/>
    </xf>
    <xf numFmtId="2" fontId="5" fillId="0" borderId="61" xfId="0" applyNumberFormat="1" applyFont="1" applyBorder="1" applyAlignment="1">
      <alignment horizontal="center"/>
    </xf>
    <xf numFmtId="171" fontId="34" fillId="3" borderId="62" xfId="0" applyNumberFormat="1" applyFont="1" applyFill="1" applyBorder="1" applyAlignment="1">
      <alignment horizontal="left"/>
    </xf>
    <xf numFmtId="171" fontId="25" fillId="0" borderId="63" xfId="0" applyNumberFormat="1" applyFont="1" applyFill="1" applyBorder="1" applyAlignment="1">
      <alignment horizontal="left"/>
    </xf>
    <xf numFmtId="14" fontId="25" fillId="0" borderId="45" xfId="0" applyNumberFormat="1" applyFont="1" applyFill="1" applyBorder="1" applyAlignment="1">
      <alignment horizontal="center"/>
    </xf>
    <xf numFmtId="20" fontId="25" fillId="0" borderId="41" xfId="0" applyNumberFormat="1" applyFont="1" applyFill="1" applyBorder="1" applyAlignment="1">
      <alignment horizontal="center"/>
    </xf>
    <xf numFmtId="20" fontId="25" fillId="0" borderId="11" xfId="0" applyNumberFormat="1" applyFont="1" applyFill="1" applyBorder="1" applyAlignment="1">
      <alignment horizontal="center"/>
    </xf>
    <xf numFmtId="20" fontId="26" fillId="0" borderId="11" xfId="0" applyNumberFormat="1" applyFont="1" applyFill="1" applyBorder="1" applyAlignment="1">
      <alignment horizontal="center"/>
    </xf>
    <xf numFmtId="20" fontId="25" fillId="0" borderId="42" xfId="0" applyNumberFormat="1" applyFont="1" applyFill="1" applyBorder="1" applyAlignment="1">
      <alignment horizontal="center"/>
    </xf>
    <xf numFmtId="20" fontId="25" fillId="0" borderId="40" xfId="0" applyNumberFormat="1" applyFont="1" applyFill="1" applyBorder="1" applyAlignment="1">
      <alignment horizontal="center"/>
    </xf>
    <xf numFmtId="20" fontId="26" fillId="0" borderId="19" xfId="0" applyNumberFormat="1" applyFont="1" applyFill="1" applyBorder="1" applyAlignment="1">
      <alignment horizontal="center"/>
    </xf>
    <xf numFmtId="171" fontId="34" fillId="3" borderId="64" xfId="0" applyNumberFormat="1" applyFont="1" applyFill="1" applyBorder="1" applyAlignment="1">
      <alignment horizontal="left"/>
    </xf>
    <xf numFmtId="20" fontId="35" fillId="3" borderId="65" xfId="0" applyNumberFormat="1" applyFont="1" applyFill="1" applyBorder="1" applyAlignment="1">
      <alignment horizontal="center"/>
    </xf>
    <xf numFmtId="20" fontId="0" fillId="0" borderId="56" xfId="0" applyNumberFormat="1" applyBorder="1" applyAlignment="1">
      <alignment horizontal="center"/>
    </xf>
    <xf numFmtId="20" fontId="37" fillId="0" borderId="55" xfId="0" applyNumberFormat="1" applyFont="1" applyBorder="1" applyAlignment="1">
      <alignment horizontal="center"/>
    </xf>
    <xf numFmtId="20" fontId="37" fillId="0" borderId="56" xfId="0" applyNumberFormat="1" applyFont="1" applyBorder="1" applyAlignment="1">
      <alignment horizontal="center"/>
    </xf>
    <xf numFmtId="0" fontId="37" fillId="0" borderId="48" xfId="0" applyFont="1" applyBorder="1" applyAlignment="1">
      <alignment horizontal="center"/>
    </xf>
    <xf numFmtId="2" fontId="34" fillId="0" borderId="6" xfId="0" applyNumberFormat="1" applyFont="1" applyBorder="1" applyAlignment="1">
      <alignment horizontal="center"/>
    </xf>
    <xf numFmtId="2" fontId="17" fillId="0" borderId="10" xfId="0" applyNumberFormat="1" applyFont="1" applyBorder="1" applyAlignment="1">
      <alignment horizontal="center"/>
    </xf>
    <xf numFmtId="20" fontId="31" fillId="5" borderId="11" xfId="0" applyNumberFormat="1" applyFont="1" applyFill="1" applyBorder="1" applyAlignment="1">
      <alignment horizontal="center"/>
    </xf>
    <xf numFmtId="20" fontId="25" fillId="5" borderId="42" xfId="0" applyNumberFormat="1" applyFont="1" applyFill="1" applyBorder="1" applyAlignment="1">
      <alignment horizontal="center"/>
    </xf>
    <xf numFmtId="20" fontId="26" fillId="5" borderId="19" xfId="0" applyNumberFormat="1" applyFont="1" applyFill="1" applyBorder="1" applyAlignment="1">
      <alignment horizontal="center"/>
    </xf>
    <xf numFmtId="20" fontId="18" fillId="0" borderId="40" xfId="0" applyNumberFormat="1" applyFont="1" applyFill="1" applyBorder="1" applyAlignment="1">
      <alignment horizontal="center"/>
    </xf>
    <xf numFmtId="20" fontId="25" fillId="5" borderId="10" xfId="0" applyNumberFormat="1" applyFont="1" applyFill="1" applyBorder="1" applyAlignment="1">
      <alignment horizontal="center"/>
    </xf>
    <xf numFmtId="20" fontId="26" fillId="5" borderId="66" xfId="0" applyNumberFormat="1" applyFont="1" applyFill="1" applyBorder="1" applyAlignment="1">
      <alignment horizontal="center"/>
    </xf>
    <xf numFmtId="2" fontId="17" fillId="3" borderId="10" xfId="0" applyNumberFormat="1" applyFont="1" applyFill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174" fontId="1" fillId="0" borderId="47" xfId="0" applyNumberFormat="1" applyFont="1" applyBorder="1" applyAlignment="1">
      <alignment horizontal="center"/>
    </xf>
    <xf numFmtId="174" fontId="5" fillId="7" borderId="54" xfId="0" applyNumberFormat="1" applyFont="1" applyFill="1" applyBorder="1" applyAlignment="1">
      <alignment horizontal="left"/>
    </xf>
    <xf numFmtId="174" fontId="5" fillId="7" borderId="3" xfId="0" applyNumberFormat="1" applyFont="1" applyFill="1" applyBorder="1" applyAlignment="1">
      <alignment horizontal="left"/>
    </xf>
    <xf numFmtId="174" fontId="5" fillId="0" borderId="3" xfId="0" applyNumberFormat="1" applyFont="1" applyFill="1" applyBorder="1" applyAlignment="1">
      <alignment horizontal="left"/>
    </xf>
    <xf numFmtId="174" fontId="0" fillId="0" borderId="0" xfId="0" applyNumberFormat="1" applyFont="1"/>
    <xf numFmtId="174" fontId="28" fillId="6" borderId="0" xfId="0" applyNumberFormat="1" applyFont="1" applyFill="1"/>
    <xf numFmtId="174" fontId="5" fillId="0" borderId="3" xfId="0" applyNumberFormat="1" applyFont="1" applyBorder="1" applyAlignment="1">
      <alignment horizontal="left"/>
    </xf>
    <xf numFmtId="174" fontId="5" fillId="0" borderId="4" xfId="0" applyNumberFormat="1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2" fontId="9" fillId="0" borderId="18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73" fontId="1" fillId="0" borderId="67" xfId="0" applyNumberFormat="1" applyFont="1" applyFill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0" fontId="5" fillId="0" borderId="12" xfId="0" applyFont="1" applyBorder="1"/>
    <xf numFmtId="2" fontId="5" fillId="0" borderId="12" xfId="0" applyNumberFormat="1" applyFont="1" applyBorder="1" applyAlignment="1">
      <alignment horizontal="center"/>
    </xf>
    <xf numFmtId="20" fontId="17" fillId="0" borderId="43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73" fontId="1" fillId="0" borderId="42" xfId="0" applyNumberFormat="1" applyFont="1" applyFill="1" applyBorder="1" applyAlignment="1">
      <alignment horizontal="center"/>
    </xf>
    <xf numFmtId="173" fontId="1" fillId="0" borderId="68" xfId="0" applyNumberFormat="1" applyFont="1" applyFill="1" applyBorder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21" fillId="0" borderId="13" xfId="0" applyFont="1" applyBorder="1" applyAlignment="1"/>
    <xf numFmtId="0" fontId="21" fillId="0" borderId="20" xfId="0" applyFont="1" applyBorder="1" applyAlignment="1"/>
    <xf numFmtId="0" fontId="14" fillId="0" borderId="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39" fillId="0" borderId="0" xfId="0" applyNumberFormat="1" applyFont="1" applyAlignment="1">
      <alignment horizontal="center" vertical="center"/>
    </xf>
    <xf numFmtId="2" fontId="39" fillId="0" borderId="69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3">
    <cellStyle name="Lien hypertexte" xfId="2" builtinId="8"/>
    <cellStyle name="Normal" xfId="0" builtinId="0"/>
    <cellStyle name="Style 1" xfId="1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FF00"/>
      </font>
    </dxf>
    <dxf>
      <font>
        <b/>
        <i val="0"/>
        <color rgb="FF7030A0"/>
      </font>
    </dxf>
    <dxf>
      <font>
        <b/>
        <i val="0"/>
        <color rgb="FF002060"/>
      </font>
    </dxf>
    <dxf>
      <font>
        <b/>
        <i val="0"/>
        <color rgb="FFFF0000"/>
      </font>
    </dxf>
    <dxf>
      <font>
        <b/>
        <i val="0"/>
        <color rgb="FF00206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K6"/>
  <sheetViews>
    <sheetView workbookViewId="0">
      <selection activeCell="B3" sqref="B3"/>
    </sheetView>
  </sheetViews>
  <sheetFormatPr baseColWidth="10" defaultRowHeight="15.75" x14ac:dyDescent="0.25"/>
  <cols>
    <col min="1" max="16384" width="11.42578125" style="1"/>
  </cols>
  <sheetData>
    <row r="2" spans="2:11" ht="16.5" thickBot="1" x14ac:dyDescent="0.3">
      <c r="E2" s="2"/>
      <c r="F2" s="2"/>
    </row>
    <row r="3" spans="2:11" x14ac:dyDescent="0.25">
      <c r="B3" s="55" t="s">
        <v>26</v>
      </c>
      <c r="C3" s="56" t="s">
        <v>24</v>
      </c>
      <c r="D3" s="84" t="s">
        <v>32</v>
      </c>
      <c r="E3" s="58" t="s">
        <v>22</v>
      </c>
      <c r="F3" s="59" t="s">
        <v>23</v>
      </c>
      <c r="G3" s="62" t="s">
        <v>25</v>
      </c>
      <c r="H3" s="86" t="s">
        <v>28</v>
      </c>
      <c r="I3" s="60" t="s">
        <v>13</v>
      </c>
      <c r="J3" s="2"/>
      <c r="K3" s="2"/>
    </row>
    <row r="4" spans="2:11" ht="16.5" thickBot="1" x14ac:dyDescent="0.3">
      <c r="B4" s="64">
        <f>(1885.65+213)</f>
        <v>2098.65</v>
      </c>
      <c r="C4" s="57">
        <v>8.8528000000000002</v>
      </c>
      <c r="D4" s="85">
        <f>C4*2</f>
        <v>17.7056</v>
      </c>
      <c r="E4" s="81">
        <f>C4*2</f>
        <v>17.7056</v>
      </c>
      <c r="F4" s="82">
        <f>C4*2</f>
        <v>17.7056</v>
      </c>
      <c r="G4" s="83">
        <f>C4*5</f>
        <v>44.264000000000003</v>
      </c>
      <c r="H4" s="87">
        <f>C4*7</f>
        <v>61.9696</v>
      </c>
      <c r="I4" s="61">
        <f>B4/20</f>
        <v>104.9325</v>
      </c>
      <c r="J4" s="2"/>
      <c r="K4" s="2"/>
    </row>
    <row r="5" spans="2:11" x14ac:dyDescent="0.25">
      <c r="C5" s="2"/>
      <c r="D5" s="2"/>
      <c r="E5" s="2"/>
      <c r="F5" s="2"/>
    </row>
    <row r="6" spans="2:11" x14ac:dyDescent="0.25">
      <c r="C6" s="2"/>
      <c r="D6" s="2"/>
      <c r="E6" s="2"/>
      <c r="F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U56"/>
  <sheetViews>
    <sheetView tabSelected="1" zoomScale="106" zoomScaleNormal="106" workbookViewId="0">
      <selection activeCell="M6" sqref="M6"/>
    </sheetView>
  </sheetViews>
  <sheetFormatPr baseColWidth="10" defaultRowHeight="15" x14ac:dyDescent="0.25"/>
  <cols>
    <col min="1" max="1" width="2.7109375" style="9" customWidth="1"/>
    <col min="2" max="2" width="25.7109375" style="30" customWidth="1"/>
    <col min="3" max="3" width="14.7109375" style="9" customWidth="1"/>
    <col min="4" max="4" width="14.7109375" style="35" customWidth="1"/>
    <col min="5" max="19" width="14.7109375" style="9" customWidth="1"/>
    <col min="20" max="20" width="14.7109375" style="34" customWidth="1"/>
    <col min="21" max="21" width="14.7109375" style="9" customWidth="1"/>
    <col min="22" max="22" width="8.7109375" style="9" customWidth="1"/>
    <col min="23" max="23" width="3.42578125" style="9" customWidth="1"/>
    <col min="24" max="24" width="8.7109375" style="9" customWidth="1"/>
    <col min="25" max="25" width="2.5703125" style="9" customWidth="1"/>
    <col min="26" max="26" width="8.140625" style="9" customWidth="1"/>
    <col min="27" max="27" width="3.5703125" style="9" customWidth="1"/>
    <col min="28" max="28" width="13.5703125" style="9" customWidth="1"/>
    <col min="29" max="16384" width="11.42578125" style="9"/>
  </cols>
  <sheetData>
    <row r="1" spans="1:20" s="10" customFormat="1" ht="15.75" thickBot="1" x14ac:dyDescent="0.3">
      <c r="A1" s="8"/>
      <c r="B1" s="238" t="s">
        <v>3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9"/>
      <c r="T1" s="11"/>
    </row>
    <row r="2" spans="1:20" s="10" customFormat="1" ht="15.75" thickBot="1" x14ac:dyDescent="0.3">
      <c r="A2" s="8"/>
      <c r="B2" s="1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42"/>
      <c r="P2" s="42"/>
      <c r="Q2" s="239" t="s">
        <v>5</v>
      </c>
      <c r="R2" s="240"/>
      <c r="S2" s="240"/>
      <c r="T2" s="241"/>
    </row>
    <row r="3" spans="1:20" s="10" customFormat="1" ht="16.5" thickBot="1" x14ac:dyDescent="0.3">
      <c r="A3" s="8"/>
      <c r="B3" s="13" t="s">
        <v>17</v>
      </c>
      <c r="C3" s="13" t="s">
        <v>6</v>
      </c>
      <c r="D3" s="244" t="s">
        <v>1</v>
      </c>
      <c r="E3" s="245"/>
      <c r="F3" s="14" t="s">
        <v>4</v>
      </c>
      <c r="G3" s="246" t="s">
        <v>2</v>
      </c>
      <c r="H3" s="245"/>
      <c r="I3" s="14" t="s">
        <v>4</v>
      </c>
      <c r="J3" s="103" t="s">
        <v>31</v>
      </c>
      <c r="K3" s="227" t="s">
        <v>22</v>
      </c>
      <c r="L3" s="228" t="s">
        <v>23</v>
      </c>
      <c r="M3" s="248" t="s">
        <v>25</v>
      </c>
      <c r="N3" s="101" t="s">
        <v>13</v>
      </c>
      <c r="O3" s="242" t="s">
        <v>8</v>
      </c>
      <c r="P3" s="243"/>
      <c r="Q3" s="15" t="s">
        <v>10</v>
      </c>
      <c r="R3" s="16" t="s">
        <v>11</v>
      </c>
      <c r="S3" s="17" t="s">
        <v>9</v>
      </c>
      <c r="T3" s="75" t="s">
        <v>12</v>
      </c>
    </row>
    <row r="4" spans="1:20" s="10" customFormat="1" ht="16.5" thickBot="1" x14ac:dyDescent="0.3">
      <c r="A4" s="8"/>
      <c r="B4" s="216" t="s">
        <v>51</v>
      </c>
      <c r="C4" s="205" t="s">
        <v>57</v>
      </c>
      <c r="D4" s="203">
        <v>0</v>
      </c>
      <c r="E4" s="215">
        <v>0</v>
      </c>
      <c r="F4" s="106">
        <f t="shared" ref="F4:F42" si="0">E4-D4</f>
        <v>0</v>
      </c>
      <c r="G4" s="204">
        <v>0.70833333333333337</v>
      </c>
      <c r="H4" s="202">
        <v>1.0069444444444444</v>
      </c>
      <c r="I4" s="106">
        <f t="shared" ref="I4" si="1">H4-G4</f>
        <v>0.29861111111111105</v>
      </c>
      <c r="J4" s="237">
        <f>IF(COUNTA(D4:E4,G4:H4)=5,Prime!$E$4,IF(AND(D4&lt;="5:01"*1,D4&gt;"2:00"*1),Prime!$E$4,IF(AND(H4&gt;="22:00"*1,H4&lt;="25:01"*1),Prime!$E$4,"")))</f>
        <v>17.7056</v>
      </c>
      <c r="K4" s="225" t="str">
        <f>IF(COUNTA(D4:E4,G4:H4)=5,Prime!$E$4,IF(AND(E4&gt;="13:15"*1,G4&lt;""),Prime!$E$4,IF(AND(G4&gt;="11:00"*1,G4&lt;="12:15"*1),Prime!$E$4,"")))</f>
        <v/>
      </c>
      <c r="L4" s="226">
        <f>IF(H4&gt;"21:30"*1,Prime!$F$4,"")</f>
        <v>17.7056</v>
      </c>
      <c r="M4" s="249"/>
      <c r="N4" s="229">
        <f>IF(ISNUMBER(FIND("F",C4)),Prime!$I$4,IF(ISNUMBER(FIND("CDS",C4)),Prime!$I$4,""))</f>
        <v>104.9325</v>
      </c>
      <c r="O4" s="224"/>
      <c r="P4" s="234"/>
      <c r="Q4" s="156"/>
      <c r="R4" s="157"/>
      <c r="S4" s="158"/>
      <c r="T4" s="159"/>
    </row>
    <row r="5" spans="1:20" s="10" customFormat="1" ht="16.5" thickBot="1" x14ac:dyDescent="0.3">
      <c r="A5" s="8"/>
      <c r="B5" s="217" t="s">
        <v>51</v>
      </c>
      <c r="C5" s="139" t="s">
        <v>53</v>
      </c>
      <c r="D5" s="176">
        <v>0.20972222222222223</v>
      </c>
      <c r="E5" s="105">
        <v>0.54513888888888895</v>
      </c>
      <c r="F5" s="106">
        <f t="shared" si="0"/>
        <v>0.3354166666666667</v>
      </c>
      <c r="G5" s="105">
        <v>0.70833333333333337</v>
      </c>
      <c r="H5" s="105">
        <v>1.0069444444444444</v>
      </c>
      <c r="I5" s="106">
        <f>H5-G5</f>
        <v>0.29861111111111105</v>
      </c>
      <c r="J5" s="237">
        <f>IF(COUNTA(D5:E5,G5:H5)=5,Prime!$E$4,IF(AND(D5&lt;="5:01"*1,D5&gt;"2:00"*1),Prime!$E$4,IF(AND(H5&gt;="22:00"*1,H5&lt;="25:01"*1),Prime!$E$4,"")))</f>
        <v>17.7056</v>
      </c>
      <c r="K5" s="225" t="str">
        <f>IF(COUNTA(D5:E5,G5:H5)=5,Prime!$E$4,IF(AND(E5&gt;="13:15"*1,G5&lt;""),Prime!$E$4,IF(AND(G5&gt;="11:00"*1,G5&lt;="12:15"*1),Prime!$E$4,"")))</f>
        <v/>
      </c>
      <c r="L5" s="226">
        <f>IF(H5&gt;"21:30"*1,Prime!$F$4,"")</f>
        <v>17.7056</v>
      </c>
      <c r="M5" s="249">
        <f>IF(AND(LEFT(C5,1)="d",D5&lt;"7:00"*1,H5&gt;="22:00"*1),Prime!$G$4,"")</f>
        <v>44.264000000000003</v>
      </c>
      <c r="N5" s="229" t="str">
        <f>IF(ISNUMBER(FIND("F",C5)),Prime!$I$4,IF(ISNUMBER(FIND("CDS",C5)),Prime!$I$4,""))</f>
        <v/>
      </c>
      <c r="O5" s="88"/>
      <c r="P5" s="50" t="str">
        <f>IF(ISBLANK(O5),"",O5*24)</f>
        <v/>
      </c>
      <c r="Q5" s="43">
        <f t="shared" ref="Q5:Q42" si="2">(E5-D5)+(H5-G5)</f>
        <v>0.63402777777777775</v>
      </c>
      <c r="R5" s="77">
        <f>Q5*24</f>
        <v>15.216666666666665</v>
      </c>
      <c r="S5" s="18">
        <v>0</v>
      </c>
      <c r="T5" s="19">
        <f>IF(R5-S5=0,"0,000",R5-S5)</f>
        <v>15.216666666666665</v>
      </c>
    </row>
    <row r="6" spans="1:20" s="10" customFormat="1" ht="17.25" thickTop="1" thickBot="1" x14ac:dyDescent="0.3">
      <c r="A6" s="8"/>
      <c r="B6" s="218">
        <v>41275</v>
      </c>
      <c r="C6" s="178" t="s">
        <v>19</v>
      </c>
      <c r="D6" s="179">
        <v>0.20833333333333334</v>
      </c>
      <c r="E6" s="163">
        <v>0.55833333333333335</v>
      </c>
      <c r="F6" s="106">
        <f t="shared" si="0"/>
        <v>0.35</v>
      </c>
      <c r="G6" s="105"/>
      <c r="H6" s="161"/>
      <c r="I6" s="188">
        <f>H6-G6</f>
        <v>0</v>
      </c>
      <c r="J6" s="237">
        <f>IF(COUNTA(D6:E6,G6:H6)=5,Prime!$E$4,IF(AND(D6&lt;="5:01"*1,D6&gt;"2:00"*1),Prime!$E$4,IF(AND(H6&gt;="22:00"*1,H6&lt;="25:01"*1),Prime!$E$4,"")))</f>
        <v>17.7056</v>
      </c>
      <c r="K6" s="225" t="str">
        <f>IF(COUNTA(D6:E6,G6:H6)=5,Prime!$E$4,IF(AND(E6&gt;="13:15"*1,G6&lt;""),Prime!$E$4,IF(AND(G6&gt;="11:00"*1,G6&lt;="12:15"*1),Prime!$E$4,"")))</f>
        <v/>
      </c>
      <c r="L6" s="226" t="str">
        <f>IF(H6&gt;"21:30"*1,Prime!$F$4,"")</f>
        <v/>
      </c>
      <c r="M6" s="247" t="str">
        <f>IF(AND(LEFT(C6,1)="d",D6&lt;"7:00"*1,H6&gt;"22:00"*1),Prime!$G$4,"")</f>
        <v/>
      </c>
      <c r="N6" s="229" t="str">
        <f>IF(ISNUMBER(FIND("F",C6)),Prime!$I$4,IF(ISNUMBER(FIND("CDS",C6)),Prime!$I$4,""))</f>
        <v/>
      </c>
      <c r="O6" s="51"/>
      <c r="P6" s="52"/>
      <c r="Q6" s="44">
        <f t="shared" si="2"/>
        <v>0.35</v>
      </c>
      <c r="R6" s="78">
        <f>Q6*24</f>
        <v>8.3999999999999986</v>
      </c>
      <c r="S6" s="21">
        <v>8</v>
      </c>
      <c r="T6" s="19">
        <f t="shared" ref="T6:T42" si="3">IF(R6-S6=0,"0,000",R6-S6)</f>
        <v>0.39999999999999858</v>
      </c>
    </row>
    <row r="7" spans="1:20" s="10" customFormat="1" ht="17.25" thickTop="1" thickBot="1" x14ac:dyDescent="0.3">
      <c r="A7" s="8"/>
      <c r="B7" s="218" t="s">
        <v>52</v>
      </c>
      <c r="C7" s="139" t="s">
        <v>29</v>
      </c>
      <c r="D7" s="177"/>
      <c r="E7" s="105"/>
      <c r="F7" s="106">
        <f>E7-D7</f>
        <v>0</v>
      </c>
      <c r="G7" s="160">
        <v>0.63194444444444442</v>
      </c>
      <c r="H7" s="179">
        <v>1.0416666666666667</v>
      </c>
      <c r="I7" s="187">
        <f>H7-G7</f>
        <v>0.40972222222222232</v>
      </c>
      <c r="J7" s="237">
        <f>IF(COUNTA(D7:E7,G7:H7)=5,Prime!$E$4,IF(AND(D7&lt;="5:01"*1,D7&gt;"2:00"*1),Prime!$E$4,IF(AND(H7&gt;="22:00"*1,H7&lt;="25:01"*1),Prime!$E$4,"")))</f>
        <v>17.7056</v>
      </c>
      <c r="K7" s="225" t="str">
        <f>IF(COUNTA(D7:E7,G7:H7)=5,Prime!$E$4,IF(AND(E7&gt;="13:15"*1,G7&lt;""),Prime!$E$4,IF(AND(G7&gt;="11:00"*1,G7&lt;="12:15"*1),Prime!$E$4,"")))</f>
        <v/>
      </c>
      <c r="L7" s="226">
        <f>IF(H7&gt;"21:30"*1,Prime!$F$4,"")</f>
        <v>17.7056</v>
      </c>
      <c r="M7" s="247" t="str">
        <f>IF(AND(LEFT(C7,1)="d",D7&lt;"7:00"*1,H7&gt;"22:00"*1),Prime!$G$4,"")</f>
        <v/>
      </c>
      <c r="N7" s="229" t="str">
        <f>IF(ISNUMBER(FIND("F",C7)),Prime!$I$4,IF(ISNUMBER(FIND("CDS",C7)),Prime!$I$4,""))</f>
        <v/>
      </c>
      <c r="O7" s="51"/>
      <c r="P7" s="52"/>
      <c r="Q7" s="44">
        <f t="shared" si="2"/>
        <v>0.40972222222222232</v>
      </c>
      <c r="R7" s="78">
        <f>Q7*24</f>
        <v>9.8333333333333357</v>
      </c>
      <c r="S7" s="76">
        <v>7.82</v>
      </c>
      <c r="T7" s="19">
        <f t="shared" si="3"/>
        <v>2.0133333333333354</v>
      </c>
    </row>
    <row r="8" spans="1:20" s="10" customFormat="1" ht="17.25" thickTop="1" thickBot="1" x14ac:dyDescent="0.3">
      <c r="A8" s="8"/>
      <c r="B8" s="218">
        <v>41277</v>
      </c>
      <c r="C8" s="178" t="s">
        <v>20</v>
      </c>
      <c r="D8" s="179">
        <v>0.20347222222222219</v>
      </c>
      <c r="E8" s="163">
        <v>0.53611111111111109</v>
      </c>
      <c r="F8" s="106">
        <f t="shared" si="0"/>
        <v>0.33263888888888893</v>
      </c>
      <c r="G8" s="105"/>
      <c r="H8" s="162"/>
      <c r="I8" s="106">
        <f t="shared" ref="I8:I42" si="4">H8-G8</f>
        <v>0</v>
      </c>
      <c r="J8" s="237">
        <f>IF(COUNTA(D8:E8,G8:H8)=5,Prime!$E$4,IF(AND(D8&lt;="5:01"*1,D8&gt;"2:00"*1),Prime!$E$4,IF(AND(H8&gt;="22:00"*1,H8&lt;="25:01"*1),Prime!$E$4,"")))</f>
        <v>17.7056</v>
      </c>
      <c r="K8" s="225" t="str">
        <f>IF(COUNTA(D8:E8,G8:H8)=5,Prime!$E$4,IF(AND(E8&gt;="13:15"*1,G8&lt;""),Prime!$E$4,IF(AND(G8&gt;="11:00"*1,G8&lt;="12:15"*1),Prime!$E$4,"")))</f>
        <v/>
      </c>
      <c r="L8" s="226" t="str">
        <f>IF(H8&gt;"21:30"*1,Prime!$F$4,"")</f>
        <v/>
      </c>
      <c r="M8" s="247" t="str">
        <f>IF(AND(LEFT(C8,1)="d",D8&lt;"7:00"*1,H8&gt;"22:00"*1),Prime!$G$4,"")</f>
        <v/>
      </c>
      <c r="N8" s="229" t="str">
        <f>IF(ISNUMBER(FIND("F",C8)),Prime!$I$4,IF(ISNUMBER(FIND("CDS",C8)),Prime!$I$4,""))</f>
        <v/>
      </c>
      <c r="O8" s="51"/>
      <c r="P8" s="52"/>
      <c r="Q8" s="44">
        <f t="shared" si="2"/>
        <v>0.33263888888888893</v>
      </c>
      <c r="R8" s="78">
        <f t="shared" ref="R8:R42" si="5">Q8*24</f>
        <v>7.9833333333333343</v>
      </c>
      <c r="S8" s="21">
        <v>7.97</v>
      </c>
      <c r="T8" s="19">
        <f t="shared" si="3"/>
        <v>1.3333333333334529E-2</v>
      </c>
    </row>
    <row r="9" spans="1:20" s="10" customFormat="1" ht="17.25" thickTop="1" thickBot="1" x14ac:dyDescent="0.3">
      <c r="A9" s="8"/>
      <c r="B9" s="20"/>
      <c r="C9" s="140"/>
      <c r="D9" s="164"/>
      <c r="E9" s="108"/>
      <c r="F9" s="109"/>
      <c r="G9" s="108"/>
      <c r="H9" s="165"/>
      <c r="I9" s="171"/>
      <c r="J9" s="237" t="str">
        <f>IF(COUNTA(D9:E9,G9:H9)=5,Prime!$E$4,IF(AND(D9&lt;="5:01"*1,D9&gt;"2:00"*1),Prime!$E$4,IF(AND(H9&gt;="22:00"*1,H9&lt;="25:01"*1),Prime!$E$4,"")))</f>
        <v/>
      </c>
      <c r="K9" s="225" t="str">
        <f>IF(COUNTA(D9:E9,G9:H9)=5,Prime!$E$4,IF(AND(E9&gt;="13:15"*1,G9&lt;""),Prime!$E$4,IF(AND(G9&gt;="11:00"*1,G9&lt;="12:15"*1),Prime!$E$4,"")))</f>
        <v/>
      </c>
      <c r="L9" s="226" t="str">
        <f>IF(H9&gt;"21:30"*1,Prime!$F$4,"")</f>
        <v/>
      </c>
      <c r="M9" s="247" t="str">
        <f>IF(AND(LEFT(C9,1)="d",D9&lt;"7:00"*1,H9&gt;"22:00"*1),Prime!$G$4,"")</f>
        <v/>
      </c>
      <c r="N9" s="229" t="str">
        <f>IF(ISNUMBER(FIND("F",C9)),Prime!$I$4,IF(ISNUMBER(FIND("CDS",C9)),Prime!$I$4,""))</f>
        <v/>
      </c>
      <c r="O9" s="51"/>
      <c r="P9" s="52"/>
      <c r="Q9" s="44">
        <f t="shared" si="2"/>
        <v>0</v>
      </c>
      <c r="R9" s="78">
        <f t="shared" si="5"/>
        <v>0</v>
      </c>
      <c r="S9" s="21">
        <v>7.97</v>
      </c>
      <c r="T9" s="19">
        <f t="shared" si="3"/>
        <v>-7.97</v>
      </c>
    </row>
    <row r="10" spans="1:20" s="10" customFormat="1" ht="17.25" thickTop="1" thickBot="1" x14ac:dyDescent="0.3">
      <c r="A10" s="8"/>
      <c r="B10" s="95">
        <v>41279</v>
      </c>
      <c r="C10" s="141" t="s">
        <v>48</v>
      </c>
      <c r="D10" s="111">
        <v>0.21875</v>
      </c>
      <c r="E10" s="112">
        <v>0.34027777777777773</v>
      </c>
      <c r="F10" s="113">
        <f t="shared" si="0"/>
        <v>0.12152777777777773</v>
      </c>
      <c r="G10" s="167">
        <v>0.45902777777777781</v>
      </c>
      <c r="H10" s="181">
        <v>0.59027777777777779</v>
      </c>
      <c r="I10" s="180">
        <f t="shared" si="4"/>
        <v>0.13124999999999998</v>
      </c>
      <c r="J10" s="237" t="str">
        <f>IF(COUNTA(D10:E10,G10:H10)=5,Prime!$E$4,IF(AND(D10&lt;="5:01"*1,D10&gt;"2:00"*1),Prime!$E$4,IF(AND(H10&gt;="22:00"*1,H10&lt;="25:01"*1),Prime!$E$4,"")))</f>
        <v/>
      </c>
      <c r="K10" s="225">
        <f>IF(COUNTA(D10:E10,G10:H10)=5,Prime!$E$4,IF(AND(E10&gt;="13:15"*1,G10&lt;""),Prime!$E$4,IF(AND(G10&gt;="11:00"*1,G10&lt;="12:15"*1),Prime!$E$4,"")))</f>
        <v>17.7056</v>
      </c>
      <c r="L10" s="226" t="str">
        <f>IF(H10&gt;"21:30"*1,Prime!$F$4,"")</f>
        <v/>
      </c>
      <c r="M10" s="247" t="str">
        <f>IF(AND(LEFT(C10,1)="d",D10&lt;"7:00"*1,H10&gt;"22:00"*1),Prime!$G$4,"")</f>
        <v/>
      </c>
      <c r="N10" s="229">
        <f>IF(ISNUMBER(FIND("F",C10)),Prime!$I$4,IF(ISNUMBER(FIND("CDS",C10)),Prime!$I$4,""))</f>
        <v>104.9325</v>
      </c>
      <c r="O10" s="51"/>
      <c r="P10" s="52"/>
      <c r="Q10" s="44">
        <f t="shared" si="2"/>
        <v>0.25277777777777771</v>
      </c>
      <c r="R10" s="78">
        <f t="shared" si="5"/>
        <v>6.0666666666666647</v>
      </c>
      <c r="S10" s="21">
        <v>0</v>
      </c>
      <c r="T10" s="19">
        <f t="shared" si="3"/>
        <v>6.0666666666666647</v>
      </c>
    </row>
    <row r="11" spans="1:20" s="10" customFormat="1" ht="17.25" thickTop="1" thickBot="1" x14ac:dyDescent="0.3">
      <c r="A11" s="8"/>
      <c r="B11" s="95">
        <v>41280</v>
      </c>
      <c r="C11" s="141" t="s">
        <v>34</v>
      </c>
      <c r="D11" s="114"/>
      <c r="E11" s="115"/>
      <c r="F11" s="166">
        <f t="shared" si="0"/>
        <v>0</v>
      </c>
      <c r="G11" s="182">
        <v>0.4826388888888889</v>
      </c>
      <c r="H11" s="170">
        <v>0.83680555555555547</v>
      </c>
      <c r="I11" s="113">
        <f t="shared" si="4"/>
        <v>0.35416666666666657</v>
      </c>
      <c r="J11" s="237" t="str">
        <f>IF(COUNTA(D11:E11,G11:H11)=5,Prime!$E$4,IF(AND(D11&lt;="5:01"*1,D11&gt;"2:00"*1),Prime!$E$4,IF(AND(H11&gt;="22:00"*1,H11&lt;="25:01"*1),Prime!$E$4,"")))</f>
        <v/>
      </c>
      <c r="K11" s="225">
        <f>IF(COUNTA(D11:E11,G11:H11)=5,Prime!$E$4,IF(AND(E11&gt;="13:15"*1,G11&lt;""),Prime!$E$4,IF(AND(G11&gt;="11:00"*1,G11&lt;="12:15"*1),Prime!$E$4,"")))</f>
        <v>17.7056</v>
      </c>
      <c r="L11" s="226" t="str">
        <f>IF(H11&gt;"21:30"*1,Prime!$F$4,"")</f>
        <v/>
      </c>
      <c r="M11" s="247" t="str">
        <f>IF(AND(LEFT(C11,1)="d",D11&lt;"7:00"*1,H11&gt;"22:00"*1),Prime!$G$4,"")</f>
        <v/>
      </c>
      <c r="N11" s="229" t="str">
        <f>IF(ISNUMBER(FIND("F",C11)),Prime!$I$4,IF(ISNUMBER(FIND("CDS",C11)),Prime!$I$4,""))</f>
        <v/>
      </c>
      <c r="O11" s="51"/>
      <c r="P11" s="52"/>
      <c r="Q11" s="44">
        <f t="shared" si="2"/>
        <v>0.35416666666666657</v>
      </c>
      <c r="R11" s="78">
        <f t="shared" si="5"/>
        <v>8.4999999999999982</v>
      </c>
      <c r="S11" s="21">
        <v>0</v>
      </c>
      <c r="T11" s="19">
        <f t="shared" si="3"/>
        <v>8.4999999999999982</v>
      </c>
    </row>
    <row r="12" spans="1:20" s="10" customFormat="1" ht="17.25" thickTop="1" thickBot="1" x14ac:dyDescent="0.3">
      <c r="A12" s="8"/>
      <c r="B12" s="20"/>
      <c r="C12" s="140"/>
      <c r="D12" s="107"/>
      <c r="E12" s="108"/>
      <c r="F12" s="109"/>
      <c r="G12" s="168"/>
      <c r="H12" s="165"/>
      <c r="I12" s="109"/>
      <c r="J12" s="237" t="str">
        <f>IF(COUNTA(D12:E12,G12:H12)=5,Prime!$E$4,IF(AND(D12&lt;="5:01"*1,D12&gt;"2:00"*1),Prime!$E$4,IF(AND(H12&gt;="22:00"*1,H12&lt;="25:01"*1),Prime!$E$4,"")))</f>
        <v/>
      </c>
      <c r="K12" s="225" t="str">
        <f>IF(COUNTA(D12:E12,G12:H12)=5,Prime!$E$4,IF(AND(E12&gt;="13:15"*1,G12&lt;""),Prime!$E$4,IF(AND(G12&gt;="11:00"*1,G12&lt;="12:15"*1),Prime!$E$4,"")))</f>
        <v/>
      </c>
      <c r="L12" s="226" t="str">
        <f>IF(H12&gt;"21:30"*1,Prime!$F$4,"")</f>
        <v/>
      </c>
      <c r="M12" s="247" t="str">
        <f>IF(AND(LEFT(C12,1)="d",D12&lt;"7:00"*1,H12&gt;"22:00"*1),Prime!$G$4,"")</f>
        <v/>
      </c>
      <c r="N12" s="229" t="str">
        <f>IF(ISNUMBER(FIND("F",C12)),Prime!$I$4,IF(ISNUMBER(FIND("CDS",C12)),Prime!$I$4,""))</f>
        <v/>
      </c>
      <c r="O12" s="51"/>
      <c r="P12" s="52"/>
      <c r="Q12" s="44">
        <f t="shared" si="2"/>
        <v>0</v>
      </c>
      <c r="R12" s="78">
        <f t="shared" si="5"/>
        <v>0</v>
      </c>
      <c r="S12" s="21">
        <v>0</v>
      </c>
      <c r="T12" s="19" t="str">
        <f t="shared" si="3"/>
        <v>0,000</v>
      </c>
    </row>
    <row r="13" spans="1:20" s="10" customFormat="1" ht="17.25" thickTop="1" thickBot="1" x14ac:dyDescent="0.3">
      <c r="A13" s="8"/>
      <c r="B13" s="94">
        <v>41282</v>
      </c>
      <c r="C13" s="142" t="s">
        <v>35</v>
      </c>
      <c r="D13" s="116"/>
      <c r="E13" s="117"/>
      <c r="F13" s="118">
        <f t="shared" si="0"/>
        <v>0</v>
      </c>
      <c r="G13" s="183">
        <v>0.5</v>
      </c>
      <c r="H13" s="185">
        <v>0.82291666666666663</v>
      </c>
      <c r="I13" s="184">
        <f t="shared" si="4"/>
        <v>0.32291666666666663</v>
      </c>
      <c r="J13" s="237" t="str">
        <f>IF(COUNTA(D13:E13,G13:H13)=5,Prime!$E$4,IF(AND(D13&lt;="5:01"*1,D13&gt;"2:00"*1),Prime!$E$4,IF(AND(H13&gt;="22:00"*1,H13&lt;="25:01"*1),Prime!$E$4,"")))</f>
        <v/>
      </c>
      <c r="K13" s="225">
        <f>IF(COUNTA(D13:E13,G13:H13)=5,Prime!$E$4,IF(AND(E13&gt;="13:15"*1,G13&lt;""),Prime!$E$4,IF(AND(G13&gt;="11:00"*1,G13&lt;="12:15"*1),Prime!$E$4,"")))</f>
        <v>17.7056</v>
      </c>
      <c r="L13" s="226" t="str">
        <f>IF(H13&gt;"21:30"*1,Prime!$F$4,"")</f>
        <v/>
      </c>
      <c r="M13" s="247" t="str">
        <f>IF(AND(LEFT(C13,1)="d",D13&lt;"7:00"*1,H13&gt;"22:00"*1),Prime!$G$4,"")</f>
        <v/>
      </c>
      <c r="N13" s="229" t="str">
        <f>IF(ISNUMBER(FIND("F",C13)),Prime!$I$4,IF(ISNUMBER(FIND("CDS",C13)),Prime!$I$4,""))</f>
        <v/>
      </c>
      <c r="O13" s="51"/>
      <c r="P13" s="52"/>
      <c r="Q13" s="44">
        <f t="shared" si="2"/>
        <v>0.32291666666666663</v>
      </c>
      <c r="R13" s="78">
        <f t="shared" si="5"/>
        <v>7.7499999999999991</v>
      </c>
      <c r="S13" s="21">
        <v>0</v>
      </c>
      <c r="T13" s="19">
        <f t="shared" si="3"/>
        <v>7.7499999999999991</v>
      </c>
    </row>
    <row r="14" spans="1:20" s="10" customFormat="1" ht="17.25" thickTop="1" thickBot="1" x14ac:dyDescent="0.3">
      <c r="A14" s="8"/>
      <c r="B14" s="94">
        <v>41283</v>
      </c>
      <c r="C14" s="143"/>
      <c r="D14" s="135"/>
      <c r="E14" s="119"/>
      <c r="F14" s="118">
        <f t="shared" si="0"/>
        <v>0</v>
      </c>
      <c r="G14" s="183">
        <v>0.5</v>
      </c>
      <c r="H14" s="185">
        <v>0.89583333333333337</v>
      </c>
      <c r="I14" s="184">
        <f t="shared" si="4"/>
        <v>0.39583333333333337</v>
      </c>
      <c r="J14" s="237" t="str">
        <f>IF(COUNTA(D14:E14,G14:H14)=5,Prime!$E$4,IF(AND(D14&lt;="5:01"*1,D14&gt;"2:00"*1),Prime!$E$4,IF(AND(H14&gt;="22:00"*1,H14&lt;="25:01"*1),Prime!$E$4,"")))</f>
        <v/>
      </c>
      <c r="K14" s="225">
        <f>IF(COUNTA(D14:E14,G14:H14)=5,Prime!$E$4,IF(AND(E14&gt;="13:15"*1,G14&lt;""),Prime!$E$4,IF(AND(G14&gt;="11:00"*1,G14&lt;="12:15"*1),Prime!$E$4,"")))</f>
        <v>17.7056</v>
      </c>
      <c r="L14" s="226" t="str">
        <f>IF(H14&gt;"21:30"*1,Prime!$F$4,"")</f>
        <v/>
      </c>
      <c r="M14" s="247" t="str">
        <f>IF(AND(LEFT(C14,1)="d",D14&lt;"7:00"*1,H14&gt;"22:00"*1),Prime!$G$4,"")</f>
        <v/>
      </c>
      <c r="N14" s="229" t="str">
        <f>IF(ISNUMBER(FIND("F",C14)),Prime!$I$4,IF(ISNUMBER(FIND("CDS",C14)),Prime!$I$4,""))</f>
        <v/>
      </c>
      <c r="O14" s="51"/>
      <c r="P14" s="52"/>
      <c r="Q14" s="44">
        <f t="shared" si="2"/>
        <v>0.39583333333333337</v>
      </c>
      <c r="R14" s="78">
        <f t="shared" si="5"/>
        <v>9.5</v>
      </c>
      <c r="S14" s="21">
        <v>8.4499999999999993</v>
      </c>
      <c r="T14" s="19">
        <f t="shared" si="3"/>
        <v>1.0500000000000007</v>
      </c>
    </row>
    <row r="15" spans="1:20" s="10" customFormat="1" ht="16.5" thickTop="1" x14ac:dyDescent="0.25">
      <c r="A15" s="8"/>
      <c r="B15" s="96"/>
      <c r="C15" s="144"/>
      <c r="D15" s="136"/>
      <c r="E15" s="120"/>
      <c r="F15" s="120"/>
      <c r="G15" s="121"/>
      <c r="H15" s="186"/>
      <c r="I15" s="120"/>
      <c r="J15" s="237" t="str">
        <f>IF(COUNTA(D15:E15,G15:H15)=5,Prime!$E$4,IF(AND(D15&lt;="5:01"*1,D15&gt;"2:00"*1),Prime!$E$4,IF(AND(H15&gt;="22:00"*1,H15&lt;="25:01"*1),Prime!$E$4,"")))</f>
        <v/>
      </c>
      <c r="K15" s="225" t="str">
        <f>IF(COUNTA(D15:E15,G15:H15)=5,Prime!$E$4,IF(AND(E15&gt;="13:15"*1,G15&lt;""),Prime!$E$4,IF(AND(H15&gt;="11:00"*1,H15&lt;="12:15"*1),Prime!$E$4,"")))</f>
        <v/>
      </c>
      <c r="L15" s="226" t="str">
        <f>IF(H15&gt;"21:30"*1,Prime!$F$4,"")</f>
        <v/>
      </c>
      <c r="M15" s="247" t="str">
        <f>IF(AND(LEFT(C15,1)="s",H15&gt;="24:00"*1),Prime!$G$4,"")</f>
        <v/>
      </c>
      <c r="N15" s="229" t="str">
        <f>IF(ISNUMBER(FIND("F",C15)),Prime!$I$4,IF(ISNUMBER(FIND("CDS",C15)),Prime!$I$4,""))</f>
        <v/>
      </c>
      <c r="O15" s="206"/>
      <c r="P15" s="52"/>
      <c r="Q15" s="44">
        <f t="shared" si="2"/>
        <v>0</v>
      </c>
      <c r="R15" s="78"/>
      <c r="S15" s="21"/>
      <c r="T15" s="19"/>
    </row>
    <row r="16" spans="1:20" s="10" customFormat="1" ht="16.5" thickBot="1" x14ac:dyDescent="0.3">
      <c r="A16" s="8"/>
      <c r="B16" s="96"/>
      <c r="C16" s="144"/>
      <c r="D16" s="136"/>
      <c r="E16" s="120"/>
      <c r="F16" s="120"/>
      <c r="G16" s="121"/>
      <c r="H16" s="211"/>
      <c r="I16" s="120"/>
      <c r="J16" s="237" t="str">
        <f>IF(COUNTA(D16:E16,G16:H16)=5,Prime!$E$4,IF(AND(D16&lt;="5:01"*1,D16&gt;"2:00"*1),Prime!$E$4,IF(AND(H16&gt;="22:00"*1,H16&lt;="25:01"*1),Prime!$E$4,"")))</f>
        <v/>
      </c>
      <c r="K16" s="207" t="str">
        <f>IF(AND(G16&gt;"11:30"*1,G16&lt;="12:30"*1),Prime!$E$4,"")</f>
        <v/>
      </c>
      <c r="L16" s="226" t="str">
        <f>IF(H16&gt;"21:30"*1,Prime!$F$4,"")</f>
        <v/>
      </c>
      <c r="M16" s="247" t="str">
        <f>IF(AND(LEFT(C16,1)="s",H16&gt;="24:00"*1),Prime!$G$4,"")</f>
        <v/>
      </c>
      <c r="N16" s="229" t="str">
        <f>IF(ISNUMBER(FIND("F",C16)),Prime!$I$4,IF(ISNUMBER(FIND("CDS",C16)),Prime!$I$4,""))</f>
        <v/>
      </c>
      <c r="O16" s="51"/>
      <c r="P16" s="52"/>
      <c r="Q16" s="44">
        <f t="shared" si="2"/>
        <v>0</v>
      </c>
      <c r="R16" s="78"/>
      <c r="S16" s="21"/>
      <c r="T16" s="19"/>
    </row>
    <row r="17" spans="1:20" s="10" customFormat="1" ht="17.25" thickTop="1" thickBot="1" x14ac:dyDescent="0.3">
      <c r="A17" s="8"/>
      <c r="B17" s="66" t="s">
        <v>42</v>
      </c>
      <c r="C17" s="145" t="s">
        <v>54</v>
      </c>
      <c r="D17" s="122"/>
      <c r="E17" s="123"/>
      <c r="F17" s="208"/>
      <c r="G17" s="209">
        <v>0.70833333333333337</v>
      </c>
      <c r="H17" s="213">
        <v>1.0069444444444444</v>
      </c>
      <c r="I17" s="210">
        <f t="shared" si="4"/>
        <v>0.29861111111111105</v>
      </c>
      <c r="J17" s="237">
        <f>IF(COUNTA(D17:E17,G17:H17)=5,Prime!$E$4,IF(AND(D17&lt;="5:01"*1,D17&gt;"2:00"*1),Prime!$E$4,IF(AND(H17&gt;="22:00"*1,H17&lt;="25:01"*1),Prime!$E$4,"")))</f>
        <v>17.7056</v>
      </c>
      <c r="K17" s="207" t="str">
        <f>IF(AND(G17&gt;"11:30"*1,G17&lt;="12:30"*1),Prime!$E$4,"")</f>
        <v/>
      </c>
      <c r="L17" s="226">
        <f>IF(H17&gt;"21:30"*1,Prime!$F$4,"")</f>
        <v>17.7056</v>
      </c>
      <c r="M17" s="247">
        <f>IF(AND(LEFT(C17,1)="s",H17&gt;="24:00"*1),Prime!$G$4,"")</f>
        <v>44.264000000000003</v>
      </c>
      <c r="N17" s="229" t="str">
        <f>IF(ISNUMBER(FIND("F",C17)),Prime!$I$4,IF(ISNUMBER(FIND("CDS",C17)),Prime!$I$4,""))</f>
        <v/>
      </c>
      <c r="O17" s="51"/>
      <c r="P17" s="52"/>
      <c r="Q17" s="44">
        <f t="shared" si="2"/>
        <v>0.29861111111111105</v>
      </c>
      <c r="R17" s="78">
        <f t="shared" si="5"/>
        <v>7.1666666666666652</v>
      </c>
      <c r="S17" s="21">
        <v>8.4499999999999993</v>
      </c>
      <c r="T17" s="19">
        <f t="shared" si="3"/>
        <v>-1.2833333333333341</v>
      </c>
    </row>
    <row r="18" spans="1:20" s="10" customFormat="1" ht="16.5" thickTop="1" x14ac:dyDescent="0.25">
      <c r="A18" s="8"/>
      <c r="B18" s="66" t="s">
        <v>45</v>
      </c>
      <c r="C18" s="145" t="s">
        <v>47</v>
      </c>
      <c r="D18" s="122">
        <v>0.32777777777777778</v>
      </c>
      <c r="E18" s="123">
        <v>0.56736111111111109</v>
      </c>
      <c r="F18" s="124">
        <f>E18-D18</f>
        <v>0.23958333333333331</v>
      </c>
      <c r="G18" s="123"/>
      <c r="H18" s="212"/>
      <c r="I18" s="124">
        <f>H18-G18</f>
        <v>0</v>
      </c>
      <c r="J18" s="237" t="str">
        <f>IF(COUNTA(D18:E18,G18:H18)=5,Prime!$E$4,IF(AND(D18&lt;="5:01"*1,D18&gt;"2:00"*1),Prime!$E$4,IF(AND(H18&gt;="22:00"*1,H18&lt;="25:01"*1),Prime!$E$4,"")))</f>
        <v/>
      </c>
      <c r="K18" s="207" t="str">
        <f>IF(AND(G18&gt;"11:30"*1,G18&lt;="12:30"*1),Prime!$E$4,"")</f>
        <v/>
      </c>
      <c r="L18" s="226" t="str">
        <f>IF(H18&gt;"21:30"*1,Prime!$F$4,"")</f>
        <v/>
      </c>
      <c r="M18" s="247" t="str">
        <f>IF(AND(LEFT(C18,1)="s",H18&gt;="24:00"*1),Prime!$G$4,"")</f>
        <v/>
      </c>
      <c r="N18" s="229">
        <f>IF(ISNUMBER(FIND("F",C18)),Prime!$I$4,IF(ISNUMBER(FIND("CDS",C18)),Prime!$I$4,""))</f>
        <v>104.9325</v>
      </c>
      <c r="O18" s="51"/>
      <c r="P18" s="52"/>
      <c r="Q18" s="44">
        <f t="shared" si="2"/>
        <v>0.23958333333333331</v>
      </c>
      <c r="R18" s="78">
        <f t="shared" si="5"/>
        <v>5.75</v>
      </c>
      <c r="S18" s="21">
        <v>8.4499999999999993</v>
      </c>
      <c r="T18" s="19">
        <f t="shared" si="3"/>
        <v>-2.6999999999999993</v>
      </c>
    </row>
    <row r="19" spans="1:20" s="10" customFormat="1" ht="15.75" x14ac:dyDescent="0.25">
      <c r="A19" s="8"/>
      <c r="B19" s="66" t="s">
        <v>41</v>
      </c>
      <c r="C19" s="145" t="s">
        <v>46</v>
      </c>
      <c r="D19" s="122"/>
      <c r="E19" s="123"/>
      <c r="F19" s="124">
        <f>E19-D19</f>
        <v>0</v>
      </c>
      <c r="G19" s="123">
        <v>0.70833333333333337</v>
      </c>
      <c r="H19" s="123">
        <v>6.9444444444444441E-3</v>
      </c>
      <c r="I19" s="124">
        <f>H19-G19</f>
        <v>-0.70138888888888895</v>
      </c>
      <c r="J19" s="237" t="str">
        <f>IF(COUNTA(D19:E19,G19:H19)=5,Prime!$E$4,IF(AND(D19&lt;="5:01"*1,D19&gt;"2:00"*1),Prime!$E$4,IF(AND(H19&gt;="22:00"*1,H19&lt;="25:01"*1),Prime!$E$4,"")))</f>
        <v/>
      </c>
      <c r="K19" s="207" t="str">
        <f>IF(AND(G19&gt;"11:30"*1,G19&lt;="12:30"*1),Prime!$E$4,"")</f>
        <v/>
      </c>
      <c r="L19" s="226" t="str">
        <f>IF(H19&gt;"21:30"*1,Prime!$F$4,"")</f>
        <v/>
      </c>
      <c r="M19" s="247" t="str">
        <f>IF(AND(LEFT(C19,1)="s",H19&gt;="24:00"*1),Prime!$G$4,"")</f>
        <v/>
      </c>
      <c r="N19" s="229">
        <f>IF(ISNUMBER(FIND("F",C19)),Prime!$I$4,IF(ISNUMBER(FIND("CDS",C19)),Prime!$I$4,""))</f>
        <v>104.9325</v>
      </c>
      <c r="O19" s="51"/>
      <c r="P19" s="52"/>
      <c r="Q19" s="44">
        <f>(E19-D19)+(H19-G19)</f>
        <v>-0.70138888888888895</v>
      </c>
      <c r="R19" s="78">
        <f t="shared" si="5"/>
        <v>-16.833333333333336</v>
      </c>
      <c r="S19" s="21">
        <v>7.6</v>
      </c>
      <c r="T19" s="19">
        <f>IF(R19-S19=0,"0,000",R19-S19)</f>
        <v>-24.433333333333337</v>
      </c>
    </row>
    <row r="20" spans="1:20" s="10" customFormat="1" ht="15.75" x14ac:dyDescent="0.25">
      <c r="A20" s="8"/>
      <c r="B20" s="66" t="s">
        <v>40</v>
      </c>
      <c r="C20" s="145" t="s">
        <v>56</v>
      </c>
      <c r="D20" s="122"/>
      <c r="E20" s="123"/>
      <c r="F20" s="124">
        <f>E20-D20</f>
        <v>0</v>
      </c>
      <c r="G20" s="123">
        <v>0.70833333333333337</v>
      </c>
      <c r="H20" s="123">
        <v>0.95833333333333337</v>
      </c>
      <c r="I20" s="124">
        <f>H20-G20</f>
        <v>0.25</v>
      </c>
      <c r="J20" s="237">
        <f>IF(COUNTA(D20:E20,G20:H20)=5,Prime!$E$4,IF(AND(D20&lt;="5:01"*1,D20&gt;"2:00"*1),Prime!$E$4,IF(AND(H20&gt;="22:00"*1,H20&lt;="25:01"*1),Prime!$E$4,"")))</f>
        <v>17.7056</v>
      </c>
      <c r="K20" s="207" t="str">
        <f>IF(AND(G20&gt;"11:30"*1,G20&lt;="12:30"*1),Prime!$E$4,"")</f>
        <v/>
      </c>
      <c r="L20" s="226">
        <f>IF(H20&gt;"21:30"*1,Prime!$F$4,"")</f>
        <v>17.7056</v>
      </c>
      <c r="M20" s="249" t="str">
        <f>IF(AND(LEFT(C20,1)="d",D20&lt;"7:00"*1,H20&gt;="24:00"*1),Prime!$G$4,"")</f>
        <v/>
      </c>
      <c r="N20" s="229" t="str">
        <f>IF(ISNUMBER(FIND("F",C20)),Prime!$I$4,IF(ISNUMBER(FIND("CDS",C20)),Prime!$I$4,""))</f>
        <v/>
      </c>
      <c r="O20" s="51"/>
      <c r="P20" s="52"/>
      <c r="Q20" s="44">
        <f t="shared" si="2"/>
        <v>0.25</v>
      </c>
      <c r="R20" s="78"/>
      <c r="S20" s="21"/>
      <c r="T20" s="19"/>
    </row>
    <row r="21" spans="1:20" s="10" customFormat="1" ht="16.5" thickBot="1" x14ac:dyDescent="0.3">
      <c r="A21" s="8"/>
      <c r="B21" s="192"/>
      <c r="C21" s="193"/>
      <c r="D21" s="194"/>
      <c r="E21" s="195"/>
      <c r="F21" s="196"/>
      <c r="G21" s="197"/>
      <c r="H21" s="198"/>
      <c r="I21" s="199"/>
      <c r="J21" s="237" t="str">
        <f>IF(COUNTA(D21:E21,G21:H21)=5,Prime!$E$4,IF(AND(D21&lt;="5:01"*1,D21&gt;"2:00"*1),Prime!$E$4,IF(AND(H21&gt;="22:00"*1,H21&lt;="25:01"*1),Prime!$E$4,"")))</f>
        <v/>
      </c>
      <c r="K21" s="207" t="str">
        <f>IF(AND(G21&gt;"11:30"*1,G21&lt;="12:30"*1),Prime!$E$4,"")</f>
        <v/>
      </c>
      <c r="L21" s="226" t="str">
        <f>IF(H21&gt;"21:30"*1,Prime!$F$4,"")</f>
        <v/>
      </c>
      <c r="M21" s="247" t="str">
        <f>IF(AND(LEFT(C21,1)="s",H21&gt;="24:00"*1),Prime!$G$4,"")</f>
        <v/>
      </c>
      <c r="N21" s="229" t="str">
        <f>IF(ISNUMBER(FIND("F",C21)),Prime!$I$4,IF(ISNUMBER(FIND("CDS",C21)),Prime!$I$4,""))</f>
        <v/>
      </c>
      <c r="O21" s="51"/>
      <c r="P21" s="52"/>
      <c r="Q21" s="44">
        <f t="shared" si="2"/>
        <v>0</v>
      </c>
      <c r="R21" s="78"/>
      <c r="S21" s="21"/>
      <c r="T21" s="19"/>
    </row>
    <row r="22" spans="1:20" s="10" customFormat="1" ht="17.25" thickTop="1" thickBot="1" x14ac:dyDescent="0.3">
      <c r="A22" s="8"/>
      <c r="B22" s="200" t="s">
        <v>39</v>
      </c>
      <c r="C22" s="146" t="s">
        <v>44</v>
      </c>
      <c r="D22" s="125">
        <v>0</v>
      </c>
      <c r="E22" s="126">
        <v>0</v>
      </c>
      <c r="F22" s="124">
        <f>E22-D22</f>
        <v>0</v>
      </c>
      <c r="G22" s="174">
        <v>0.70833333333333337</v>
      </c>
      <c r="H22" s="189">
        <v>0.875</v>
      </c>
      <c r="I22" s="175">
        <f>H22-G22</f>
        <v>0.16666666666666663</v>
      </c>
      <c r="J22" s="237" t="str">
        <f>IF(COUNTA(D22:E22,G22:H22)=5,Prime!$E$4,IF(AND(D22&lt;="5:01"*1,D22&gt;"2:00"*1),Prime!$E$4,IF(AND(H22&gt;="22:00"*1,H22&lt;="25:01"*1),Prime!$E$4,"")))</f>
        <v/>
      </c>
      <c r="K22" s="214" t="str">
        <f>IF(AND(G22&gt;"11:30"*1,G22&lt;="12:30"*1),Prime!$E$4,"")</f>
        <v/>
      </c>
      <c r="L22" s="226" t="str">
        <f>IF(H22&gt;"21:30"*1,Prime!$F$4,"")</f>
        <v/>
      </c>
      <c r="M22" s="247" t="str">
        <f>IF(AND(LEFT(C22,1)="s",H22&gt;="24:00"*1),Prime!$G$4,"")</f>
        <v/>
      </c>
      <c r="N22" s="229" t="str">
        <f>IF(ISNUMBER(FIND("F",C22)),Prime!$I$4,IF(ISNUMBER(FIND("CDS",C22)),Prime!$I$4,""))</f>
        <v/>
      </c>
      <c r="O22" s="190"/>
      <c r="P22" s="52"/>
      <c r="Q22" s="44">
        <f t="shared" si="2"/>
        <v>0.16666666666666663</v>
      </c>
      <c r="R22" s="78"/>
      <c r="S22" s="21"/>
      <c r="T22" s="19"/>
    </row>
    <row r="23" spans="1:20" s="10" customFormat="1" ht="16.5" thickTop="1" x14ac:dyDescent="0.25">
      <c r="A23" s="8"/>
      <c r="B23" s="191" t="s">
        <v>37</v>
      </c>
      <c r="C23" s="146" t="s">
        <v>49</v>
      </c>
      <c r="D23" s="125">
        <v>0</v>
      </c>
      <c r="E23" s="126">
        <v>0</v>
      </c>
      <c r="F23" s="124">
        <f>E23-D23</f>
        <v>0</v>
      </c>
      <c r="G23" s="174"/>
      <c r="H23" s="201"/>
      <c r="I23" s="175">
        <f>H23-G23</f>
        <v>0</v>
      </c>
      <c r="J23" s="237" t="str">
        <f>IF(COUNTA(D23:E23,G23:H23)=5,Prime!$E$4,IF(AND(D23&lt;="5:01"*1,D23&gt;"2:00"*1),Prime!$E$4,IF(AND(H23&gt;="22:00"*1,H23&lt;="25:01"*1),Prime!$E$4,"")))</f>
        <v/>
      </c>
      <c r="K23" s="214" t="str">
        <f>IF(AND(G23&gt;"11:30"*1,G23&lt;="12:30"*1),Prime!$E$4,"")</f>
        <v/>
      </c>
      <c r="L23" s="226" t="str">
        <f>IF(H23&gt;"21:30"*1,Prime!$F$4,"")</f>
        <v/>
      </c>
      <c r="M23" s="247" t="str">
        <f>IF(AND(LEFT(C23,1)="s",H23&gt;="24:00"*1),Prime!$G$4,"")</f>
        <v/>
      </c>
      <c r="N23" s="229">
        <f>IF(ISNUMBER(FIND("F",C23)),Prime!$I$4,IF(ISNUMBER(FIND("CDS",C23)),Prime!$I$4,""))</f>
        <v>104.9325</v>
      </c>
      <c r="O23" s="190"/>
      <c r="P23" s="52"/>
      <c r="Q23" s="44">
        <f t="shared" si="2"/>
        <v>0</v>
      </c>
      <c r="R23" s="78"/>
      <c r="S23" s="21"/>
      <c r="T23" s="19"/>
    </row>
    <row r="24" spans="1:20" s="10" customFormat="1" ht="15.75" x14ac:dyDescent="0.25">
      <c r="A24" s="8"/>
      <c r="B24" s="102">
        <v>41299</v>
      </c>
      <c r="C24" s="146" t="s">
        <v>50</v>
      </c>
      <c r="D24" s="125"/>
      <c r="E24" s="126"/>
      <c r="F24" s="127">
        <f>E24-D24</f>
        <v>0</v>
      </c>
      <c r="G24" s="126"/>
      <c r="H24" s="173"/>
      <c r="I24" s="127">
        <f>H24-G24</f>
        <v>0</v>
      </c>
      <c r="J24" s="237" t="str">
        <f>IF(COUNTA(D24:E24,G24:H24)=5,Prime!$E$4,IF(AND(D24&lt;="5:01"*1,D24&gt;"2:00"*1),Prime!$E$4,IF(AND(H24&gt;="22:00"*1,H24&lt;="25:01"*1),Prime!$E$4,"")))</f>
        <v/>
      </c>
      <c r="K24" s="214" t="str">
        <f>IF(AND(G24&gt;"11:30"*1,G24&lt;="12:30"*1),Prime!$E$4,"")</f>
        <v/>
      </c>
      <c r="L24" s="226" t="str">
        <f>IF(H24&gt;"21:30"*1,Prime!$F$4,"")</f>
        <v/>
      </c>
      <c r="M24" s="247" t="str">
        <f>IF(AND(LEFT(C24,1)="s",H24&gt;="24:00"*1),Prime!$G$4,"")</f>
        <v/>
      </c>
      <c r="N24" s="229">
        <f>IF(ISNUMBER(FIND("F",C24)),Prime!$I$4,IF(ISNUMBER(FIND("CDS",C24)),Prime!$I$4,""))</f>
        <v>104.9325</v>
      </c>
      <c r="O24" s="190"/>
      <c r="P24" s="52"/>
      <c r="Q24" s="44">
        <f t="shared" si="2"/>
        <v>0</v>
      </c>
      <c r="R24" s="78">
        <f t="shared" si="5"/>
        <v>0</v>
      </c>
      <c r="S24" s="21">
        <v>7.3</v>
      </c>
      <c r="T24" s="19">
        <f t="shared" si="3"/>
        <v>-7.3</v>
      </c>
    </row>
    <row r="25" spans="1:20" s="10" customFormat="1" ht="15.75" x14ac:dyDescent="0.25">
      <c r="A25" s="8"/>
      <c r="B25" s="102" t="s">
        <v>36</v>
      </c>
      <c r="C25" s="146" t="s">
        <v>50</v>
      </c>
      <c r="D25" s="125">
        <v>0.20833333333333334</v>
      </c>
      <c r="E25" s="126">
        <v>0.53125</v>
      </c>
      <c r="F25" s="127">
        <f>E25-D25</f>
        <v>0.32291666666666663</v>
      </c>
      <c r="G25" s="126"/>
      <c r="H25" s="126"/>
      <c r="I25" s="127">
        <f>H25-G25</f>
        <v>0</v>
      </c>
      <c r="J25" s="237">
        <f>IF(COUNTA(D25:E25,G25:H25)=5,Prime!$E$4,IF(AND(D25&lt;="5:01"*1,D25&gt;"2:00"*1),Prime!$E$4,IF(AND(H25&gt;="22:00"*1,H25&lt;="25:01"*1),Prime!$E$4,"")))</f>
        <v>17.7056</v>
      </c>
      <c r="K25" s="214" t="str">
        <f>IF(AND(G25&gt;"11:30"*1,G25&lt;="12:30"*1),Prime!$E$4,"")</f>
        <v/>
      </c>
      <c r="L25" s="226" t="str">
        <f>IF(H25&gt;"21:30"*1,Prime!$F$4,"")</f>
        <v/>
      </c>
      <c r="M25" s="247" t="str">
        <f>IF(AND(LEFT(C25,1)="s",H25&gt;="24:00"*1),Prime!$G$4,"")</f>
        <v/>
      </c>
      <c r="N25" s="229">
        <f>IF(ISNUMBER(FIND("F",C25)),Prime!$I$4,IF(ISNUMBER(FIND("CDS",C25)),Prime!$I$4,""))</f>
        <v>104.9325</v>
      </c>
      <c r="O25" s="190"/>
      <c r="P25" s="52"/>
      <c r="Q25" s="44">
        <f t="shared" si="2"/>
        <v>0.32291666666666663</v>
      </c>
      <c r="R25" s="78">
        <f t="shared" si="5"/>
        <v>7.7499999999999991</v>
      </c>
      <c r="S25" s="21">
        <v>0</v>
      </c>
      <c r="T25" s="19">
        <f t="shared" si="3"/>
        <v>7.7499999999999991</v>
      </c>
    </row>
    <row r="26" spans="1:20" s="10" customFormat="1" ht="15.75" x14ac:dyDescent="0.25">
      <c r="A26" s="8"/>
      <c r="B26" s="102" t="s">
        <v>38</v>
      </c>
      <c r="C26" s="146" t="s">
        <v>55</v>
      </c>
      <c r="D26" s="125">
        <v>0</v>
      </c>
      <c r="E26" s="126">
        <v>0</v>
      </c>
      <c r="F26" s="127">
        <f>E26-D26</f>
        <v>0</v>
      </c>
      <c r="G26" s="126">
        <v>0.70833333333333337</v>
      </c>
      <c r="H26" s="126">
        <v>1.0486111111111112</v>
      </c>
      <c r="I26" s="127">
        <f>H26-G26</f>
        <v>0.34027777777777779</v>
      </c>
      <c r="J26" s="237" t="str">
        <f>IF(COUNTA(D26:E26,G26:H26)=5,Prime!$E$4,IF(AND(D26&lt;="5:01"*1,D26&gt;"2:00"*1),Prime!$E$4,IF(AND(H26&gt;="22:00"*1,H26&lt;="25:01"*1),Prime!$E$4,"")))</f>
        <v/>
      </c>
      <c r="K26" s="214" t="str">
        <f>IF(AND(G26&gt;"11:30"*1,G26&lt;="12:30"*1),Prime!$E$4,"")</f>
        <v/>
      </c>
      <c r="L26" s="226">
        <f>IF(H26&gt;"21:30"*1,Prime!$F$4,"")</f>
        <v>17.7056</v>
      </c>
      <c r="M26" s="247">
        <f>IF(AND(LEFT(C26,1)="s",H26&gt;="24:00"*1),Prime!$G$4,"")</f>
        <v>44.264000000000003</v>
      </c>
      <c r="N26" s="229">
        <f>IF(ISNUMBER(FIND("F",C26)),Prime!$I$4,IF(ISNUMBER(FIND("CDS",C26)),Prime!$I$4,""))</f>
        <v>104.9325</v>
      </c>
      <c r="O26" s="190"/>
      <c r="P26" s="52"/>
      <c r="Q26" s="44"/>
      <c r="R26" s="78"/>
      <c r="S26" s="21"/>
      <c r="T26" s="19"/>
    </row>
    <row r="27" spans="1:20" s="10" customFormat="1" ht="15.75" x14ac:dyDescent="0.25">
      <c r="A27" s="8"/>
      <c r="B27" s="96"/>
      <c r="C27" s="147"/>
      <c r="D27" s="128"/>
      <c r="E27" s="121"/>
      <c r="F27" s="129"/>
      <c r="G27" s="121"/>
      <c r="H27" s="129"/>
      <c r="I27" s="129"/>
      <c r="J27" s="237" t="str">
        <f>IF(COUNTA(D27:E27,G27:H27)=5,Prime!$E$4,IF(AND(D27&lt;="5:01"*1,D27&gt;"2:00"*1),Prime!$E$4,IF(AND(H27&gt;="22:00"*1,H27&lt;="25:01"*1),Prime!$E$4,"")))</f>
        <v/>
      </c>
      <c r="K27" s="207" t="str">
        <f>IF(AND(G27&gt;"11:30"*1,G27&lt;="12:30"*1),Prime!$E$4,"")</f>
        <v/>
      </c>
      <c r="L27" s="226" t="str">
        <f>IF(H27&gt;"21:30"*1,Prime!$F$4,"")</f>
        <v/>
      </c>
      <c r="M27" s="247" t="str">
        <f>IF(AND(LEFT(C27,1)="s",H27&gt;="24:00"*1),Prime!$G$4,"")</f>
        <v/>
      </c>
      <c r="N27" s="229" t="str">
        <f>IF(ISNUMBER(FIND("F",C27)),Prime!$I$4,IF(ISNUMBER(FIND("CDS",C27)),Prime!$I$4,""))</f>
        <v/>
      </c>
      <c r="O27" s="51"/>
      <c r="P27" s="52"/>
      <c r="Q27" s="44">
        <f t="shared" si="2"/>
        <v>0</v>
      </c>
      <c r="R27" s="78">
        <f t="shared" si="5"/>
        <v>0</v>
      </c>
      <c r="S27" s="21">
        <v>8.27</v>
      </c>
      <c r="T27" s="19">
        <f t="shared" si="3"/>
        <v>-8.27</v>
      </c>
    </row>
    <row r="28" spans="1:20" s="10" customFormat="1" ht="15.75" x14ac:dyDescent="0.25">
      <c r="A28" s="8"/>
      <c r="B28" s="219">
        <v>41290</v>
      </c>
      <c r="C28" s="147" t="s">
        <v>30</v>
      </c>
      <c r="D28" s="128">
        <v>0.33333333333333331</v>
      </c>
      <c r="E28" s="121">
        <v>0.65</v>
      </c>
      <c r="F28" s="129">
        <f t="shared" si="0"/>
        <v>0.31666666666666671</v>
      </c>
      <c r="G28" s="121">
        <v>0.58333333333333337</v>
      </c>
      <c r="H28" s="129">
        <v>0.81319444444444444</v>
      </c>
      <c r="I28" s="129">
        <f t="shared" si="4"/>
        <v>0.22986111111111107</v>
      </c>
      <c r="J28" s="237" t="str">
        <f>IF(COUNTA(D28:E28,G28:H28)=5,Prime!$E$4,IF(AND(D28&lt;="5:01"*1,D28&gt;"2:00"*1),Prime!$E$4,IF(AND(H28&gt;="22:00"*1,H28&lt;="25:01"*1),Prime!$E$4,"")))</f>
        <v/>
      </c>
      <c r="K28" s="207" t="str">
        <f>IF(AND(G28&gt;"11:30"*1,G28&lt;="12:30"*1),Prime!$E$4,"")</f>
        <v/>
      </c>
      <c r="L28" s="226" t="str">
        <f>IF(H28&gt;"21:30"*1,Prime!$F$4,"")</f>
        <v/>
      </c>
      <c r="M28" s="247" t="str">
        <f>IF(AND(LEFT(C28,1)="s",H28&gt;="24:00"*1),Prime!$G$4,"")</f>
        <v/>
      </c>
      <c r="N28" s="229" t="str">
        <f>IF(ISNUMBER(FIND("F",C28)),Prime!$I$4,IF(ISNUMBER(FIND("CDS",C28)),Prime!$I$4,""))</f>
        <v/>
      </c>
      <c r="O28" s="51"/>
      <c r="P28" s="52"/>
      <c r="Q28" s="44">
        <f t="shared" si="2"/>
        <v>0.54652777777777772</v>
      </c>
      <c r="R28" s="78">
        <f t="shared" si="5"/>
        <v>13.116666666666665</v>
      </c>
      <c r="S28" s="21">
        <v>7.6</v>
      </c>
      <c r="T28" s="19">
        <f t="shared" si="3"/>
        <v>5.5166666666666657</v>
      </c>
    </row>
    <row r="29" spans="1:20" s="10" customFormat="1" ht="15.75" x14ac:dyDescent="0.25">
      <c r="A29" s="8"/>
      <c r="B29" s="219">
        <v>41291</v>
      </c>
      <c r="C29" s="147" t="s">
        <v>21</v>
      </c>
      <c r="D29" s="128">
        <v>0.33333333333333331</v>
      </c>
      <c r="E29" s="121">
        <v>0.65</v>
      </c>
      <c r="F29" s="129">
        <f t="shared" si="0"/>
        <v>0.31666666666666671</v>
      </c>
      <c r="G29" s="121"/>
      <c r="H29" s="121"/>
      <c r="I29" s="129">
        <f t="shared" si="4"/>
        <v>0</v>
      </c>
      <c r="J29" s="237" t="str">
        <f>IF(COUNTA(D29:E29,G29:H29)=5,Prime!$E$4,IF(AND(D29&lt;="5:01"*1,D29&gt;"2:00"*1),Prime!$E$4,IF(AND(H29&gt;="22:00"*1,H29&lt;="25:01"*1),Prime!$E$4,"")))</f>
        <v/>
      </c>
      <c r="K29" s="207" t="str">
        <f>IF(AND(G29&gt;"11:30"*1,G29&lt;="12:30"*1),Prime!$E$4,"")</f>
        <v/>
      </c>
      <c r="L29" s="226" t="str">
        <f>IF(H29&gt;"21:30"*1,Prime!$F$4,"")</f>
        <v/>
      </c>
      <c r="M29" s="247" t="str">
        <f>IF(AND(LEFT(C29,1)="s",H29&gt;="24:00"*1),Prime!$G$4,"")</f>
        <v/>
      </c>
      <c r="N29" s="229" t="str">
        <f>IF(ISNUMBER(FIND("F",C29)),Prime!$I$4,IF(ISNUMBER(FIND("CDS",C29)),Prime!$I$4,""))</f>
        <v/>
      </c>
      <c r="O29" s="51"/>
      <c r="P29" s="52"/>
      <c r="Q29" s="44">
        <f t="shared" si="2"/>
        <v>0.31666666666666671</v>
      </c>
      <c r="R29" s="78">
        <f t="shared" si="5"/>
        <v>7.6000000000000014</v>
      </c>
      <c r="S29" s="21">
        <v>7.6</v>
      </c>
      <c r="T29" s="19">
        <f t="shared" si="3"/>
        <v>1.7763568394002505E-15</v>
      </c>
    </row>
    <row r="30" spans="1:20" s="10" customFormat="1" ht="15.75" x14ac:dyDescent="0.25">
      <c r="A30" s="8"/>
      <c r="B30" s="219">
        <v>41292</v>
      </c>
      <c r="C30" s="147" t="s">
        <v>33</v>
      </c>
      <c r="D30" s="128">
        <v>0.33333333333333331</v>
      </c>
      <c r="E30" s="121">
        <v>0.65</v>
      </c>
      <c r="F30" s="129">
        <f t="shared" si="0"/>
        <v>0.31666666666666671</v>
      </c>
      <c r="G30" s="121"/>
      <c r="H30" s="121"/>
      <c r="I30" s="129">
        <f t="shared" si="4"/>
        <v>0</v>
      </c>
      <c r="J30" s="237" t="str">
        <f>IF(COUNTA(D30:E30,G30:H30)=5,Prime!$E$4,IF(AND(D30&lt;="5:01"*1,D30&gt;"2:00"*1),Prime!$E$4,IF(AND(H30&gt;="22:00"*1,H30&lt;="25:01"*1),Prime!$E$4,"")))</f>
        <v/>
      </c>
      <c r="K30" s="207" t="str">
        <f>IF(AND(G30&gt;"11:30"*1,G30&lt;="12:30"*1),Prime!$E$4,"")</f>
        <v/>
      </c>
      <c r="L30" s="207" t="str">
        <f>IF(AND(H30&gt;"19:30"*1,H30&lt;="21:30"*1),Prime!$F$4,"")</f>
        <v/>
      </c>
      <c r="M30" s="247" t="str">
        <f>IF(AND(LEFT(C30,1)="s",H30&gt;="24:00"*1),Prime!$G$4,"")</f>
        <v/>
      </c>
      <c r="N30" s="229" t="str">
        <f>IF(ISNUMBER(FIND("FERIÉ",C30)),Prime!$I$4,IF(ISNUMBER(FIND("F",C30)),Prime!$I$4,IF(ISNUMBER(FIND("CDS",C30)),Prime!$I$4,"")))</f>
        <v/>
      </c>
      <c r="O30" s="51"/>
      <c r="P30" s="52"/>
      <c r="Q30" s="44">
        <f t="shared" si="2"/>
        <v>0.31666666666666671</v>
      </c>
      <c r="R30" s="78">
        <f t="shared" si="5"/>
        <v>7.6000000000000014</v>
      </c>
      <c r="S30" s="21">
        <v>7.6</v>
      </c>
      <c r="T30" s="19">
        <f t="shared" si="3"/>
        <v>1.7763568394002505E-15</v>
      </c>
    </row>
    <row r="31" spans="1:20" s="10" customFormat="1" ht="15.75" x14ac:dyDescent="0.25">
      <c r="A31" s="8"/>
      <c r="B31" s="219">
        <v>41293</v>
      </c>
      <c r="C31" s="147" t="s">
        <v>33</v>
      </c>
      <c r="D31" s="128">
        <v>0.33333333333333331</v>
      </c>
      <c r="E31" s="121">
        <v>0.65</v>
      </c>
      <c r="F31" s="129">
        <f t="shared" si="0"/>
        <v>0.31666666666666671</v>
      </c>
      <c r="G31" s="121"/>
      <c r="H31" s="121"/>
      <c r="I31" s="129">
        <f t="shared" si="4"/>
        <v>0</v>
      </c>
      <c r="J31" s="110"/>
      <c r="K31" s="207" t="str">
        <f>IF(AND(G31&gt;"11:30"*1,G31&lt;="12:30"*1),Prime!$E$4,"")</f>
        <v/>
      </c>
      <c r="L31" s="207" t="str">
        <f>IF(AND(H31&gt;"19:30"*1,H31&lt;="21:30"*1),Prime!$F$4,"")</f>
        <v/>
      </c>
      <c r="M31" s="247" t="str">
        <f>IF(AND(LEFT(C31,1)="s",H31&gt;="24:00"*1),Prime!$G$4,"")</f>
        <v/>
      </c>
      <c r="N31" s="229" t="str">
        <f>IF(ISNUMBER(FIND("FERIÉ",C31)),Prime!$I$4,IF(ISNUMBER(FIND("F",C31)),Prime!$I$4,IF(ISNUMBER(FIND("CDS",C31)),Prime!$I$4,"")))</f>
        <v/>
      </c>
      <c r="O31" s="51"/>
      <c r="P31" s="52"/>
      <c r="Q31" s="44">
        <f t="shared" si="2"/>
        <v>0.31666666666666671</v>
      </c>
      <c r="R31" s="78">
        <f t="shared" si="5"/>
        <v>7.6000000000000014</v>
      </c>
      <c r="S31" s="21">
        <v>7.6</v>
      </c>
      <c r="T31" s="19">
        <f t="shared" si="3"/>
        <v>1.7763568394002505E-15</v>
      </c>
    </row>
    <row r="32" spans="1:20" s="10" customFormat="1" ht="15.75" x14ac:dyDescent="0.25">
      <c r="A32" s="8"/>
      <c r="B32" s="219">
        <v>41294</v>
      </c>
      <c r="C32" s="147" t="s">
        <v>33</v>
      </c>
      <c r="D32" s="128">
        <v>0</v>
      </c>
      <c r="E32" s="121">
        <v>0</v>
      </c>
      <c r="F32" s="129">
        <f t="shared" si="0"/>
        <v>0</v>
      </c>
      <c r="G32" s="121"/>
      <c r="H32" s="121"/>
      <c r="I32" s="129">
        <f t="shared" si="4"/>
        <v>0</v>
      </c>
      <c r="J32" s="110"/>
      <c r="K32" s="207" t="str">
        <f>IF(AND(G32&gt;"11:30"*1,G32&lt;="12:30"*1),Prime!$E$4,"")</f>
        <v/>
      </c>
      <c r="L32" s="207" t="str">
        <f>IF(AND(H32&gt;"19:30"*1,H32&lt;="21:30"*1),Prime!$F$4,"")</f>
        <v/>
      </c>
      <c r="M32" s="247" t="str">
        <f>IF(AND(LEFT(C32,1)="s",H32&gt;="24:00"*1),Prime!$G$4,"")</f>
        <v/>
      </c>
      <c r="N32" s="229" t="str">
        <f>IF(ISNUMBER(FIND("FERIÉ",C32)),Prime!$I$4,"")</f>
        <v/>
      </c>
      <c r="O32" s="51"/>
      <c r="P32" s="52"/>
      <c r="Q32" s="44">
        <f t="shared" si="2"/>
        <v>0</v>
      </c>
      <c r="R32" s="78">
        <f t="shared" si="5"/>
        <v>0</v>
      </c>
      <c r="S32" s="21">
        <v>0</v>
      </c>
      <c r="T32" s="19" t="str">
        <f t="shared" si="3"/>
        <v>0,000</v>
      </c>
    </row>
    <row r="33" spans="1:21" s="10" customFormat="1" x14ac:dyDescent="0.25">
      <c r="A33" s="8"/>
      <c r="B33" s="219">
        <v>41295</v>
      </c>
      <c r="C33" s="147" t="s">
        <v>33</v>
      </c>
      <c r="D33" s="128">
        <v>0</v>
      </c>
      <c r="E33" s="121">
        <v>0</v>
      </c>
      <c r="F33" s="129">
        <f t="shared" si="0"/>
        <v>0</v>
      </c>
      <c r="G33" s="121"/>
      <c r="H33" s="121"/>
      <c r="I33" s="129">
        <f t="shared" si="4"/>
        <v>0</v>
      </c>
      <c r="J33" s="110"/>
      <c r="K33" s="207" t="str">
        <f>IF(AND(G33&gt;"11:30"*1,G33&lt;="12:30"*1),Prime!$E$4,"")</f>
        <v/>
      </c>
      <c r="L33" s="207" t="str">
        <f>IF(AND(H33&gt;"19:30"*1,H33&lt;="21:30"*1),Prime!$F$4,"")</f>
        <v/>
      </c>
      <c r="M33" s="235" t="str">
        <f>IF(ISNUMBER(FIND("samedi",B33:B71)),Prime!$E$4,"")</f>
        <v/>
      </c>
      <c r="N33" s="97"/>
      <c r="O33" s="51"/>
      <c r="P33" s="52"/>
      <c r="Q33" s="44">
        <f t="shared" si="2"/>
        <v>0</v>
      </c>
      <c r="R33" s="78">
        <f t="shared" si="5"/>
        <v>0</v>
      </c>
      <c r="S33" s="21">
        <v>0</v>
      </c>
      <c r="T33" s="19" t="str">
        <f t="shared" si="3"/>
        <v>0,000</v>
      </c>
    </row>
    <row r="34" spans="1:21" s="10" customFormat="1" x14ac:dyDescent="0.25">
      <c r="A34" s="8"/>
      <c r="B34" s="219">
        <v>41296</v>
      </c>
      <c r="C34" s="147" t="s">
        <v>14</v>
      </c>
      <c r="D34" s="128">
        <v>0.23472222222222219</v>
      </c>
      <c r="E34" s="121">
        <v>0.43958333333333338</v>
      </c>
      <c r="F34" s="129">
        <f t="shared" si="0"/>
        <v>0.20486111111111119</v>
      </c>
      <c r="G34" s="121">
        <v>0.53402777777777777</v>
      </c>
      <c r="H34" s="121">
        <v>0.67222222222222217</v>
      </c>
      <c r="I34" s="129">
        <f>H34-G34</f>
        <v>0.1381944444444444</v>
      </c>
      <c r="J34" s="110"/>
      <c r="K34" s="207" t="str">
        <f>IF(AND(H34&gt;"11:30"*1,H34&lt;="12:30"*1),Prime!$F$4,"")</f>
        <v/>
      </c>
      <c r="L34" s="207" t="str">
        <f>IF(AND(H34&gt;"19:30"*1,H34&lt;="21:30"*1),Prime!$F$4,"")</f>
        <v/>
      </c>
      <c r="M34" s="235" t="str">
        <f>IF(ISNUMBER(FIND("samedi",B34:B72)),Prime!$E$4,"")</f>
        <v/>
      </c>
      <c r="N34" s="97"/>
      <c r="O34" s="51"/>
      <c r="P34" s="52"/>
      <c r="Q34" s="44">
        <f t="shared" si="2"/>
        <v>0.34305555555555556</v>
      </c>
      <c r="R34" s="78">
        <f t="shared" si="5"/>
        <v>8.2333333333333343</v>
      </c>
      <c r="S34" s="21">
        <v>8.18</v>
      </c>
      <c r="T34" s="19">
        <f t="shared" si="3"/>
        <v>5.3333333333334565E-2</v>
      </c>
    </row>
    <row r="35" spans="1:21" s="10" customFormat="1" x14ac:dyDescent="0.25">
      <c r="A35" s="8"/>
      <c r="B35" s="219">
        <v>41297</v>
      </c>
      <c r="C35" s="147" t="s">
        <v>14</v>
      </c>
      <c r="D35" s="128">
        <v>0.23472222222222219</v>
      </c>
      <c r="E35" s="121">
        <v>0.43958333333333338</v>
      </c>
      <c r="F35" s="129">
        <f>E35-D35</f>
        <v>0.20486111111111119</v>
      </c>
      <c r="G35" s="121">
        <v>0.53402777777777777</v>
      </c>
      <c r="H35" s="121">
        <v>0.67222222222222217</v>
      </c>
      <c r="I35" s="129">
        <f t="shared" si="4"/>
        <v>0.1381944444444444</v>
      </c>
      <c r="J35" s="110"/>
      <c r="K35" s="207" t="str">
        <f>IF(AND(H35&gt;"11:30"*1,H35&lt;="12:30"*1),Prime!$F$4,"")</f>
        <v/>
      </c>
      <c r="L35" s="207" t="str">
        <f>IF(AND(H35&gt;"19:30"*1,H35&lt;="21:30"*1),Prime!$F$4,"")</f>
        <v/>
      </c>
      <c r="M35" s="235" t="str">
        <f>IF(ISNUMBER(FIND("samedi",B35:B73)),Prime!$E$4,"")</f>
        <v/>
      </c>
      <c r="N35" s="97"/>
      <c r="O35" s="51"/>
      <c r="P35" s="52"/>
      <c r="Q35" s="44">
        <f t="shared" si="2"/>
        <v>0.34305555555555556</v>
      </c>
      <c r="R35" s="78">
        <f t="shared" si="5"/>
        <v>8.2333333333333343</v>
      </c>
      <c r="S35" s="21">
        <v>8.18</v>
      </c>
      <c r="T35" s="19">
        <f t="shared" si="3"/>
        <v>5.3333333333334565E-2</v>
      </c>
    </row>
    <row r="36" spans="1:21" s="10" customFormat="1" x14ac:dyDescent="0.25">
      <c r="A36" s="8"/>
      <c r="B36" s="219">
        <v>41298</v>
      </c>
      <c r="C36" s="147" t="s">
        <v>27</v>
      </c>
      <c r="D36" s="128">
        <v>0</v>
      </c>
      <c r="E36" s="121">
        <v>0</v>
      </c>
      <c r="F36" s="129">
        <f t="shared" si="0"/>
        <v>0</v>
      </c>
      <c r="G36" s="121">
        <v>0.75</v>
      </c>
      <c r="H36" s="172">
        <v>1.0486111111111112</v>
      </c>
      <c r="I36" s="129">
        <f t="shared" si="4"/>
        <v>0.29861111111111116</v>
      </c>
      <c r="J36" s="110"/>
      <c r="K36" s="207" t="str">
        <f>IF(AND(H36&gt;"11:30"*1,H36&lt;="12:30"*1),Prime!$F$4,"")</f>
        <v/>
      </c>
      <c r="L36" s="104"/>
      <c r="M36" s="235" t="str">
        <f>IF(ISNUMBER(FIND("samedi",B36:B74)),Prime!$E$4,"")</f>
        <v/>
      </c>
      <c r="N36" s="97"/>
      <c r="O36" s="51"/>
      <c r="P36" s="52"/>
      <c r="Q36" s="44">
        <f t="shared" si="2"/>
        <v>0.29861111111111116</v>
      </c>
      <c r="R36" s="78">
        <f t="shared" si="5"/>
        <v>7.1666666666666679</v>
      </c>
      <c r="S36" s="21">
        <v>0</v>
      </c>
      <c r="T36" s="19">
        <f t="shared" si="3"/>
        <v>7.1666666666666679</v>
      </c>
    </row>
    <row r="37" spans="1:21" s="10" customFormat="1" x14ac:dyDescent="0.25">
      <c r="A37" s="8"/>
      <c r="B37" s="220"/>
      <c r="C37" s="148"/>
      <c r="D37" s="137"/>
      <c r="E37" s="130"/>
      <c r="F37" s="130"/>
      <c r="G37" s="130"/>
      <c r="H37" s="130"/>
      <c r="I37" s="130"/>
      <c r="J37" s="110"/>
      <c r="K37" s="207" t="str">
        <f>IF(AND(H37&gt;"11:30"*1,H37&lt;="12:30"*1),Prime!$F$4,"")</f>
        <v/>
      </c>
      <c r="L37" s="104"/>
      <c r="M37" s="235" t="str">
        <f>IF(ISNUMBER(FIND("samedi",B37:B75)),Prime!$E$4,"")</f>
        <v/>
      </c>
      <c r="N37" s="97"/>
      <c r="O37" s="51"/>
      <c r="P37" s="52"/>
      <c r="Q37" s="44">
        <f t="shared" si="2"/>
        <v>0</v>
      </c>
      <c r="R37" s="78">
        <f t="shared" si="5"/>
        <v>0</v>
      </c>
      <c r="S37" s="21">
        <v>0</v>
      </c>
      <c r="T37" s="19" t="str">
        <f t="shared" si="3"/>
        <v>0,000</v>
      </c>
    </row>
    <row r="38" spans="1:21" s="10" customFormat="1" x14ac:dyDescent="0.25">
      <c r="A38" s="8"/>
      <c r="B38" s="219" t="s">
        <v>43</v>
      </c>
      <c r="C38" s="147" t="s">
        <v>7</v>
      </c>
      <c r="D38" s="128">
        <v>0</v>
      </c>
      <c r="E38" s="121">
        <v>0</v>
      </c>
      <c r="F38" s="129">
        <f t="shared" si="0"/>
        <v>0</v>
      </c>
      <c r="G38" s="121"/>
      <c r="H38" s="121"/>
      <c r="I38" s="129">
        <f t="shared" si="4"/>
        <v>0</v>
      </c>
      <c r="J38" s="110"/>
      <c r="K38" s="207" t="str">
        <f>IF(AND(H38&gt;"11:30"*1,H38&lt;="12:30"*1),Prime!$F$4,"")</f>
        <v/>
      </c>
      <c r="L38" s="104"/>
      <c r="M38" s="235" t="str">
        <f>IF(ISNUMBER(FIND("samedi",B38:B76)),Prime!$E$4,"")</f>
        <v/>
      </c>
      <c r="N38" s="97"/>
      <c r="O38" s="51"/>
      <c r="P38" s="52"/>
      <c r="Q38" s="44">
        <f t="shared" si="2"/>
        <v>0</v>
      </c>
      <c r="R38" s="78">
        <f t="shared" si="5"/>
        <v>0</v>
      </c>
      <c r="S38" s="21">
        <v>0</v>
      </c>
      <c r="T38" s="19" t="str">
        <f t="shared" si="3"/>
        <v>0,000</v>
      </c>
    </row>
    <row r="39" spans="1:21" s="10" customFormat="1" x14ac:dyDescent="0.25">
      <c r="A39" s="8"/>
      <c r="B39" s="219">
        <v>41301</v>
      </c>
      <c r="C39" s="147" t="s">
        <v>15</v>
      </c>
      <c r="D39" s="128">
        <v>0.49861111111111112</v>
      </c>
      <c r="E39" s="121">
        <v>0.8027777777777777</v>
      </c>
      <c r="F39" s="129">
        <f t="shared" si="0"/>
        <v>0.30416666666666659</v>
      </c>
      <c r="G39" s="121"/>
      <c r="H39" s="121"/>
      <c r="I39" s="129">
        <f t="shared" si="4"/>
        <v>0</v>
      </c>
      <c r="J39" s="110"/>
      <c r="K39" s="169"/>
      <c r="L39" s="104"/>
      <c r="M39" s="235" t="str">
        <f>IF(ISNUMBER(FIND("samedi",B39:B77)),Prime!$E$4,"")</f>
        <v/>
      </c>
      <c r="N39" s="97"/>
      <c r="O39" s="51"/>
      <c r="P39" s="52"/>
      <c r="Q39" s="44">
        <f t="shared" si="2"/>
        <v>0.30416666666666659</v>
      </c>
      <c r="R39" s="78">
        <f t="shared" si="5"/>
        <v>7.299999999999998</v>
      </c>
      <c r="S39" s="21">
        <v>7.3</v>
      </c>
      <c r="T39" s="19">
        <f t="shared" si="3"/>
        <v>-1.7763568394002505E-15</v>
      </c>
    </row>
    <row r="40" spans="1:21" s="72" customFormat="1" x14ac:dyDescent="0.25">
      <c r="A40" s="67"/>
      <c r="B40" s="221"/>
      <c r="C40" s="149"/>
      <c r="D40" s="138"/>
      <c r="E40" s="131"/>
      <c r="F40" s="131"/>
      <c r="G40" s="131"/>
      <c r="H40" s="131"/>
      <c r="I40" s="131"/>
      <c r="J40" s="110"/>
      <c r="K40" s="169"/>
      <c r="L40" s="104"/>
      <c r="M40" s="235" t="str">
        <f>IF(ISNUMBER(FIND("samedi",B40:B78)),Prime!$E$4,"")</f>
        <v/>
      </c>
      <c r="N40" s="98"/>
      <c r="O40" s="68"/>
      <c r="P40" s="69"/>
      <c r="Q40" s="44">
        <f t="shared" si="2"/>
        <v>0</v>
      </c>
      <c r="R40" s="79">
        <f t="shared" si="5"/>
        <v>0</v>
      </c>
      <c r="S40" s="70">
        <v>5.75</v>
      </c>
      <c r="T40" s="71">
        <f t="shared" si="3"/>
        <v>-5.75</v>
      </c>
    </row>
    <row r="41" spans="1:21" s="10" customFormat="1" x14ac:dyDescent="0.25">
      <c r="A41" s="8"/>
      <c r="B41" s="222">
        <v>41303</v>
      </c>
      <c r="C41" s="140" t="s">
        <v>16</v>
      </c>
      <c r="D41" s="107">
        <v>0.51111111111111118</v>
      </c>
      <c r="E41" s="108">
        <v>0.83124999999999993</v>
      </c>
      <c r="F41" s="109">
        <f t="shared" si="0"/>
        <v>0.32013888888888875</v>
      </c>
      <c r="G41" s="108"/>
      <c r="H41" s="108"/>
      <c r="I41" s="109">
        <f t="shared" si="4"/>
        <v>0</v>
      </c>
      <c r="J41" s="110"/>
      <c r="K41" s="169"/>
      <c r="L41" s="104"/>
      <c r="M41" s="235" t="str">
        <f>IF(ISNUMBER(FIND("samedi",B41:B79)),Prime!$E$4,"")</f>
        <v/>
      </c>
      <c r="N41" s="73"/>
      <c r="O41" s="51"/>
      <c r="P41" s="52"/>
      <c r="Q41" s="44">
        <f t="shared" si="2"/>
        <v>0.32013888888888875</v>
      </c>
      <c r="R41" s="78">
        <f t="shared" si="5"/>
        <v>7.68333333333333</v>
      </c>
      <c r="S41" s="21">
        <v>7.68</v>
      </c>
      <c r="T41" s="19">
        <f t="shared" si="3"/>
        <v>3.3333333333303017E-3</v>
      </c>
    </row>
    <row r="42" spans="1:21" s="10" customFormat="1" ht="15.75" thickBot="1" x14ac:dyDescent="0.3">
      <c r="A42" s="8"/>
      <c r="B42" s="223">
        <v>41304</v>
      </c>
      <c r="C42" s="150" t="s">
        <v>0</v>
      </c>
      <c r="D42" s="132">
        <v>0</v>
      </c>
      <c r="E42" s="133">
        <v>0</v>
      </c>
      <c r="F42" s="134">
        <f t="shared" si="0"/>
        <v>0</v>
      </c>
      <c r="G42" s="133"/>
      <c r="H42" s="133"/>
      <c r="I42" s="134">
        <f t="shared" si="4"/>
        <v>0</v>
      </c>
      <c r="J42" s="230"/>
      <c r="K42" s="231"/>
      <c r="L42" s="232"/>
      <c r="M42" s="236" t="str">
        <f>IF(ISNUMBER(FIND("samedi",B42:B80)),Prime!$E$4,"")</f>
        <v/>
      </c>
      <c r="N42" s="74"/>
      <c r="O42" s="53"/>
      <c r="P42" s="54"/>
      <c r="Q42" s="233">
        <f t="shared" si="2"/>
        <v>0</v>
      </c>
      <c r="R42" s="80">
        <f t="shared" si="5"/>
        <v>0</v>
      </c>
      <c r="S42" s="22">
        <v>0</v>
      </c>
      <c r="T42" s="23" t="str">
        <f t="shared" si="3"/>
        <v>0,000</v>
      </c>
    </row>
    <row r="43" spans="1:21" s="10" customFormat="1" x14ac:dyDescent="0.25">
      <c r="A43" s="8"/>
      <c r="B43" s="24"/>
      <c r="C43" s="25"/>
      <c r="D43" s="25"/>
      <c r="E43" s="8"/>
      <c r="F43" s="8"/>
      <c r="G43" s="8"/>
      <c r="H43" s="8"/>
      <c r="I43" s="8"/>
      <c r="J43" s="8"/>
      <c r="K43" s="41"/>
      <c r="L43" s="36"/>
      <c r="Q43" s="8"/>
      <c r="R43" s="3"/>
      <c r="S43" s="4"/>
      <c r="T43" s="26"/>
    </row>
    <row r="44" spans="1:21" s="10" customFormat="1" x14ac:dyDescent="0.25">
      <c r="A44" s="8"/>
      <c r="B44" s="92" t="s">
        <v>18</v>
      </c>
      <c r="C44" s="89">
        <f>COUNTIF(C4:C42,"&lt;&gt;")-(COUNTIF(C5:C42,"CH*")+COUNTIF(C5:C42,"RTT*")+COUNTIF(C5:C42,"CC*")+COUNTIF(C5:C42,"FERIÉ*")+COUNTIF(C5:C42,"CP*"))</f>
        <v>24</v>
      </c>
      <c r="D44" s="25"/>
      <c r="E44" s="8"/>
      <c r="F44" s="8"/>
      <c r="G44" s="8"/>
      <c r="H44" s="8"/>
      <c r="I44" s="8"/>
      <c r="J44" s="90">
        <f>SUM(J5:J42)</f>
        <v>123.93920000000001</v>
      </c>
      <c r="K44" s="37">
        <f>SUM(K5:K42)</f>
        <v>70.822400000000002</v>
      </c>
      <c r="L44" s="63">
        <f>SUM(L5:L42)</f>
        <v>88.528000000000006</v>
      </c>
      <c r="M44" s="38">
        <f>SUM(M5:M42)</f>
        <v>132.792</v>
      </c>
      <c r="N44" s="38">
        <f>SUM(N5:N42)</f>
        <v>734.52750000000003</v>
      </c>
      <c r="O44" s="27">
        <f>SUM(O5:O42)/24</f>
        <v>0</v>
      </c>
      <c r="P44" s="45">
        <f>SUM(P5:P42)</f>
        <v>0</v>
      </c>
      <c r="Q44" s="28">
        <f>SUM(Q5:Q42)</f>
        <v>6.7340277777777775</v>
      </c>
      <c r="R44" s="5">
        <f>SUM(R5:R42)</f>
        <v>151.61666666666667</v>
      </c>
      <c r="S44" s="6">
        <f>SUM(S3:S42)</f>
        <v>147.76999999999998</v>
      </c>
      <c r="T44" s="26">
        <f>R44-S44</f>
        <v>3.8466666666666924</v>
      </c>
      <c r="U44" s="29"/>
    </row>
    <row r="45" spans="1:21" s="10" customFormat="1" x14ac:dyDescent="0.25">
      <c r="A45" s="8"/>
      <c r="B45" s="12"/>
      <c r="C45" s="8"/>
      <c r="D45" s="2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9"/>
      <c r="T45" s="11"/>
    </row>
    <row r="46" spans="1:21" s="10" customFormat="1" ht="15.75" customHeight="1" x14ac:dyDescent="0.25">
      <c r="B46" s="91" t="s">
        <v>33</v>
      </c>
      <c r="C46" s="89">
        <f>COUNTIF(C7:C44,"&lt;&gt;")-(COUNTIF(C7:C44,"CH*")+COUNTIF(C7:C44,"RTT*")+COUNTIF(C7:C44,"CC*")+COUNTIF(C7:C44,"FERIÉ*"))</f>
        <v>26</v>
      </c>
      <c r="O46" s="47"/>
      <c r="P46" s="40"/>
      <c r="Q46" s="31">
        <v>6.1895833333333341</v>
      </c>
      <c r="R46" s="7">
        <v>148.19999999999999</v>
      </c>
      <c r="T46" s="11"/>
    </row>
    <row r="47" spans="1:21" s="10" customFormat="1" x14ac:dyDescent="0.25">
      <c r="B47" s="30"/>
      <c r="T47" s="11"/>
    </row>
    <row r="48" spans="1:21" x14ac:dyDescent="0.25">
      <c r="B48" s="12"/>
      <c r="C48" s="8"/>
      <c r="D48" s="25"/>
      <c r="E48" s="48"/>
      <c r="F48" s="65"/>
      <c r="G48" s="48"/>
      <c r="H48" s="48"/>
      <c r="I48" s="8"/>
      <c r="J48" s="8"/>
      <c r="K48" s="8"/>
      <c r="L48" s="8"/>
      <c r="M48" s="8"/>
      <c r="N48" s="8"/>
      <c r="O48" s="46"/>
      <c r="P48" s="39"/>
      <c r="Q48" s="32">
        <f>(Q44-Q46)</f>
        <v>0.5444444444444434</v>
      </c>
      <c r="R48" s="33">
        <f>Q48*24</f>
        <v>13.066666666666642</v>
      </c>
    </row>
    <row r="49" spans="2:17" x14ac:dyDescent="0.25">
      <c r="B49" s="12"/>
      <c r="C49" s="8"/>
      <c r="D49" s="2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2:17" x14ac:dyDescent="0.25">
      <c r="B50" s="12"/>
      <c r="C50" s="8"/>
      <c r="D50" s="25"/>
      <c r="E50" s="8"/>
      <c r="F50" s="8"/>
      <c r="G50" s="8"/>
      <c r="H50" s="8"/>
      <c r="I50" s="8"/>
      <c r="J50" s="8"/>
      <c r="K50" s="48"/>
      <c r="L50" s="8"/>
      <c r="M50" s="8"/>
      <c r="N50" s="8"/>
      <c r="O50" s="8"/>
      <c r="P50" s="8"/>
      <c r="Q50" s="8"/>
    </row>
    <row r="51" spans="2:17" x14ac:dyDescent="0.25">
      <c r="B51" s="12"/>
      <c r="C51" s="8"/>
      <c r="D51" s="2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2:17" x14ac:dyDescent="0.25">
      <c r="B52" s="12"/>
      <c r="C52" s="8"/>
      <c r="D52" s="151"/>
      <c r="E52" s="152"/>
      <c r="F52" s="153"/>
      <c r="G52" s="154"/>
      <c r="H52" s="154"/>
      <c r="I52" s="155"/>
      <c r="J52" s="154"/>
      <c r="K52" s="154"/>
      <c r="L52" s="155"/>
      <c r="M52" s="93"/>
      <c r="N52" s="99"/>
      <c r="O52" s="100"/>
      <c r="P52" s="49"/>
      <c r="Q52" s="8"/>
    </row>
    <row r="53" spans="2:17" x14ac:dyDescent="0.25">
      <c r="B53" s="12"/>
      <c r="C53" s="8"/>
      <c r="D53" s="25"/>
      <c r="E53" s="8"/>
      <c r="F53" s="8"/>
      <c r="G53" s="8"/>
      <c r="H53" s="8"/>
      <c r="I53" s="48"/>
      <c r="J53" s="48"/>
      <c r="K53" s="48"/>
      <c r="L53" s="48"/>
      <c r="M53" s="48"/>
      <c r="N53" s="8"/>
      <c r="O53" s="8"/>
      <c r="P53" s="8"/>
      <c r="Q53" s="8"/>
    </row>
    <row r="54" spans="2:17" x14ac:dyDescent="0.25">
      <c r="B54" s="12"/>
      <c r="C54" s="8"/>
      <c r="D54" s="2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2:17" x14ac:dyDescent="0.25">
      <c r="B55" s="12"/>
      <c r="C55" s="8"/>
      <c r="D55" s="2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2:17" x14ac:dyDescent="0.25">
      <c r="B56" s="12"/>
      <c r="C56" s="8"/>
      <c r="D56" s="25"/>
      <c r="E56" s="8"/>
      <c r="F56" s="8"/>
      <c r="G56" s="8"/>
      <c r="H56" s="48"/>
      <c r="I56" s="8"/>
      <c r="J56" s="8"/>
      <c r="K56" s="8"/>
      <c r="L56" s="8"/>
      <c r="M56" s="48"/>
      <c r="N56" s="8"/>
      <c r="O56" s="8"/>
      <c r="P56" s="8"/>
      <c r="Q56" s="8"/>
    </row>
  </sheetData>
  <mergeCells count="5">
    <mergeCell ref="B1:Q1"/>
    <mergeCell ref="Q2:T2"/>
    <mergeCell ref="O3:P3"/>
    <mergeCell ref="D3:E3"/>
    <mergeCell ref="G3:H3"/>
  </mergeCells>
  <conditionalFormatting sqref="T5:T42">
    <cfRule type="cellIs" dxfId="11" priority="32" operator="greaterThanOrEqual">
      <formula>0.001</formula>
    </cfRule>
    <cfRule type="cellIs" dxfId="10" priority="33" operator="lessThan">
      <formula>0</formula>
    </cfRule>
  </conditionalFormatting>
  <conditionalFormatting sqref="T43:T44">
    <cfRule type="cellIs" dxfId="9" priority="28" operator="greaterThanOrEqual">
      <formula>0.001</formula>
    </cfRule>
    <cfRule type="cellIs" dxfId="8" priority="29" operator="lessThan">
      <formula>0</formula>
    </cfRule>
  </conditionalFormatting>
  <conditionalFormatting sqref="Q48">
    <cfRule type="cellIs" dxfId="7" priority="18" operator="lessThan">
      <formula>0</formula>
    </cfRule>
  </conditionalFormatting>
  <conditionalFormatting sqref="A12:I12 R12:IW12 O12">
    <cfRule type="expression" dxfId="6" priority="16" stopIfTrue="1">
      <formula>"dimanche"</formula>
    </cfRule>
  </conditionalFormatting>
  <conditionalFormatting sqref="B41:B42 B5:B18 B38:B39 B24 B27:B36">
    <cfRule type="expression" dxfId="5" priority="12">
      <formula>$B5="dimanche"</formula>
    </cfRule>
  </conditionalFormatting>
  <conditionalFormatting sqref="B22:B23">
    <cfRule type="expression" dxfId="4" priority="10">
      <formula>$B22="dimanche"</formula>
    </cfRule>
  </conditionalFormatting>
  <conditionalFormatting sqref="E52">
    <cfRule type="expression" dxfId="3" priority="35">
      <formula>$E52="dimanche"</formula>
    </cfRule>
  </conditionalFormatting>
  <conditionalFormatting sqref="B25:B26">
    <cfRule type="expression" dxfId="2" priority="8">
      <formula>$B25="dimanche"</formula>
    </cfRule>
  </conditionalFormatting>
  <conditionalFormatting sqref="B19 B21">
    <cfRule type="expression" dxfId="1" priority="4">
      <formula>$B19="dimanche"</formula>
    </cfRule>
  </conditionalFormatting>
  <conditionalFormatting sqref="B20">
    <cfRule type="expression" dxfId="0" priority="2">
      <formula>$B20="dimanche"</formula>
    </cfRule>
  </conditionalFormatting>
  <conditionalFormatting sqref="B6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Prime</vt:lpstr>
      <vt:lpstr>Janvier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2017-09-24T10:56:58Z</dcterms:created>
  <dcterms:modified xsi:type="dcterms:W3CDTF">2017-10-29T11:29:25Z</dcterms:modified>
</cp:coreProperties>
</file>