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60" windowWidth="27320" windowHeight="14820" tabRatio="500" activeTab="1"/>
  </bookViews>
  <sheets>
    <sheet name="20 ans" sheetId="1" r:id="rId1"/>
    <sheet name="30 ans" sheetId="2" r:id="rId2"/>
  </sheets>
  <definedNames>
    <definedName name="_1Montant_du_pr_t">#REF!</definedName>
    <definedName name="Mensualit">#REF!</definedName>
    <definedName name="Taux">#REF!</definedName>
  </definedNames>
  <calcPr fullCalcOnLoad="1"/>
</workbook>
</file>

<file path=xl/sharedStrings.xml><?xml version="1.0" encoding="utf-8"?>
<sst xmlns="http://schemas.openxmlformats.org/spreadsheetml/2006/main" count="114" uniqueCount="45">
  <si>
    <t>PEA</t>
  </si>
  <si>
    <t>AV</t>
  </si>
  <si>
    <t>Années</t>
  </si>
  <si>
    <t xml:space="preserve"> </t>
  </si>
  <si>
    <t>Prélvement Social de 15,5%</t>
  </si>
  <si>
    <t>Rentre Annuelle brute</t>
  </si>
  <si>
    <t>Impot</t>
  </si>
  <si>
    <t>Rente annuelle nette</t>
  </si>
  <si>
    <t>Taxe US</t>
  </si>
  <si>
    <t>Crédit d'impot</t>
  </si>
  <si>
    <t>TMI 14%</t>
  </si>
  <si>
    <t>TMI 30%</t>
  </si>
  <si>
    <t>brut</t>
  </si>
  <si>
    <t>CTO</t>
  </si>
  <si>
    <t>net (-0,45% de frais)</t>
  </si>
  <si>
    <t>net (0,04% de frais)</t>
  </si>
  <si>
    <t>MSCI World 7%</t>
  </si>
  <si>
    <t xml:space="preserve">MSCI World 7% </t>
  </si>
  <si>
    <t>Tracker VTI 7 %</t>
  </si>
  <si>
    <t>Tracker VTI  7 %</t>
  </si>
  <si>
    <t>net (-0,45-0,5% de frais)</t>
  </si>
  <si>
    <t>Dividende année</t>
  </si>
  <si>
    <t>en cours 1%</t>
  </si>
  <si>
    <t>Sortie sous forme de rente : plus de versement seuls les dividendes sont consommés</t>
  </si>
  <si>
    <t>Dividendes</t>
  </si>
  <si>
    <t>Rente mensuelle nette</t>
  </si>
  <si>
    <t>J'ai fait le choix du prélévement libératoire</t>
  </si>
  <si>
    <t xml:space="preserve">de 7,5% plus avantageux que les 4600€... </t>
  </si>
  <si>
    <t>Avec</t>
  </si>
  <si>
    <t>J'ai tenu compte des 40% d'abattement…</t>
  </si>
  <si>
    <t>Solde de la ligne au bout de 20 ans</t>
  </si>
  <si>
    <t>Total investi sur 20 ans</t>
  </si>
  <si>
    <t>Plus Value brute</t>
  </si>
  <si>
    <t xml:space="preserve">Plus Value nette </t>
  </si>
  <si>
    <t>(-7,5%)</t>
  </si>
  <si>
    <t>remarque si décès plus brut =net</t>
  </si>
  <si>
    <t>Valeur</t>
  </si>
  <si>
    <t>I</t>
  </si>
  <si>
    <t>(-15,5%)</t>
  </si>
  <si>
    <t>Abattement de 65 % de la PV</t>
  </si>
  <si>
    <t>donc moins de 150000 € de capital investi …</t>
  </si>
  <si>
    <t>(-15,5%) + IR</t>
  </si>
  <si>
    <t>20 000 € au départ puis 6000 € par an soit 500 € par mois pendant 20 ans</t>
  </si>
  <si>
    <t>donc plus de 150000 € de capital investi je ne sais pas faire… mais partons sur le même calcul !!</t>
  </si>
  <si>
    <t>Total dividende brut</t>
  </si>
</sst>
</file>

<file path=xl/styles.xml><?xml version="1.0" encoding="utf-8"?>
<styleSheet xmlns="http://schemas.openxmlformats.org/spreadsheetml/2006/main">
  <numFmts count="21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_-* #,##0\ &quot;€&quot;_-;\-* #,##0\ &quot;€&quot;_-;_-* &quot;-&quot;\ &quot;€&quot;_-;_-@_-"/>
    <numFmt numFmtId="165" formatCode="_-* #,##0.00\ _€_-;\-* #,##0.00\ _€_-;_-* &quot;-&quot;??\ _€_-;_-@_-"/>
    <numFmt numFmtId="166" formatCode="#,##0.00\ &quot;€&quot;;[Red]#,##0.00\ &quot;€&quot;"/>
    <numFmt numFmtId="167" formatCode="#,##0\ &quot;€&quot;;[Red]#,##0\ &quot;€&quot;"/>
    <numFmt numFmtId="168" formatCode="mmm\-yyyy"/>
    <numFmt numFmtId="169" formatCode="0.0%"/>
    <numFmt numFmtId="170" formatCode="0.0000"/>
    <numFmt numFmtId="171" formatCode="0.00000"/>
    <numFmt numFmtId="172" formatCode="0.000"/>
    <numFmt numFmtId="173" formatCode="0.0"/>
    <numFmt numFmtId="174" formatCode="_-* #,##0.00\ [$€-40C]_-;\-* #,##0.00\ [$€-40C]_-;_-* &quot;-&quot;??\ [$€-40C]_-;_-@_-"/>
    <numFmt numFmtId="175" formatCode="_-* #,##0.0\ [$€-40C]_-;\-* #,##0.0\ [$€-40C]_-;_-* &quot;-&quot;??\ [$€-40C]_-;_-@_-"/>
    <numFmt numFmtId="176" formatCode="_-* #,##0\ [$€-40C]_-;\-* #,##0\ [$€-40C]_-;_-* &quot;-&quot;??\ [$€-40C]_-;_-@_-"/>
  </numFmts>
  <fonts count="51">
    <font>
      <sz val="10"/>
      <name val="Geneva"/>
      <family val="0"/>
    </font>
    <font>
      <sz val="12"/>
      <color indexed="8"/>
      <name val="Calibri"/>
      <family val="2"/>
    </font>
    <font>
      <b/>
      <sz val="10"/>
      <name val="Geneva"/>
      <family val="0"/>
    </font>
    <font>
      <b/>
      <sz val="12"/>
      <name val="Geneva"/>
      <family val="0"/>
    </font>
    <font>
      <sz val="12"/>
      <name val="Geneva"/>
      <family val="0"/>
    </font>
    <font>
      <b/>
      <sz val="14"/>
      <name val="Geneva"/>
      <family val="0"/>
    </font>
    <font>
      <sz val="14"/>
      <name val="Geneva"/>
      <family val="0"/>
    </font>
    <font>
      <b/>
      <i/>
      <sz val="10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0"/>
      <color indexed="10"/>
      <name val="Geneva"/>
      <family val="0"/>
    </font>
    <font>
      <sz val="10"/>
      <color indexed="15"/>
      <name val="Geneva"/>
      <family val="0"/>
    </font>
    <font>
      <b/>
      <sz val="10"/>
      <color indexed="8"/>
      <name val="Geneva"/>
      <family val="0"/>
    </font>
    <font>
      <sz val="10"/>
      <color indexed="21"/>
      <name val="Geneva"/>
      <family val="0"/>
    </font>
    <font>
      <sz val="10"/>
      <color indexed="8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eneva"/>
      <family val="0"/>
    </font>
    <font>
      <sz val="10"/>
      <color rgb="FF0070C0"/>
      <name val="Geneva"/>
      <family val="0"/>
    </font>
    <font>
      <b/>
      <sz val="10"/>
      <color theme="1"/>
      <name val="Geneva"/>
      <family val="0"/>
    </font>
    <font>
      <sz val="10"/>
      <color rgb="FF00B050"/>
      <name val="Geneva"/>
      <family val="0"/>
    </font>
    <font>
      <sz val="10"/>
      <color theme="1"/>
      <name val="Geneva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7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6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10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164" fontId="46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6" fontId="0" fillId="0" borderId="13" xfId="0" applyNumberFormat="1" applyBorder="1" applyAlignment="1">
      <alignment/>
    </xf>
    <xf numFmtId="164" fontId="47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164" fontId="2" fillId="22" borderId="0" xfId="0" applyNumberFormat="1" applyFont="1" applyFill="1" applyAlignment="1">
      <alignment/>
    </xf>
    <xf numFmtId="164" fontId="48" fillId="34" borderId="0" xfId="0" applyNumberFormat="1" applyFont="1" applyFill="1" applyAlignment="1">
      <alignment/>
    </xf>
    <xf numFmtId="164" fontId="48" fillId="35" borderId="0" xfId="0" applyNumberFormat="1" applyFont="1" applyFill="1" applyAlignment="1">
      <alignment/>
    </xf>
    <xf numFmtId="0" fontId="2" fillId="35" borderId="14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49" fillId="0" borderId="0" xfId="0" applyNumberFormat="1" applyFont="1" applyBorder="1" applyAlignment="1">
      <alignment horizontal="center"/>
    </xf>
    <xf numFmtId="164" fontId="49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48" fillId="35" borderId="10" xfId="0" applyNumberFormat="1" applyFont="1" applyFill="1" applyBorder="1" applyAlignment="1">
      <alignment/>
    </xf>
    <xf numFmtId="164" fontId="50" fillId="34" borderId="13" xfId="0" applyNumberFormat="1" applyFont="1" applyFill="1" applyBorder="1" applyAlignment="1">
      <alignment/>
    </xf>
    <xf numFmtId="164" fontId="50" fillId="36" borderId="0" xfId="0" applyNumberFormat="1" applyFont="1" applyFill="1" applyBorder="1" applyAlignment="1">
      <alignment horizontal="center"/>
    </xf>
    <xf numFmtId="164" fontId="50" fillId="36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6" fontId="2" fillId="0" borderId="0" xfId="0" applyNumberFormat="1" applyFont="1" applyAlignment="1">
      <alignment/>
    </xf>
    <xf numFmtId="164" fontId="5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5" fillId="37" borderId="0" xfId="0" applyFont="1" applyFill="1" applyAlignment="1">
      <alignment horizontal="center" vertic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35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2" fillId="22" borderId="0" xfId="0" applyFont="1" applyFill="1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6" fontId="0" fillId="0" borderId="0" xfId="0" applyNumberFormat="1" applyFont="1" applyAlignment="1">
      <alignment/>
    </xf>
    <xf numFmtId="0" fontId="2" fillId="0" borderId="14" xfId="0" applyFont="1" applyBorder="1" applyAlignment="1">
      <alignment horizontal="center"/>
    </xf>
    <xf numFmtId="164" fontId="2" fillId="35" borderId="11" xfId="0" applyNumberFormat="1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0" fillId="34" borderId="13" xfId="0" applyNumberFormat="1" applyFill="1" applyBorder="1" applyAlignment="1">
      <alignment/>
    </xf>
    <xf numFmtId="164" fontId="2" fillId="34" borderId="13" xfId="0" applyNumberFormat="1" applyFont="1" applyFill="1" applyBorder="1" applyAlignment="1">
      <alignment/>
    </xf>
    <xf numFmtId="0" fontId="2" fillId="0" borderId="17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176" fontId="0" fillId="34" borderId="0" xfId="0" applyNumberFormat="1" applyFill="1" applyBorder="1" applyAlignment="1">
      <alignment/>
    </xf>
    <xf numFmtId="176" fontId="0" fillId="34" borderId="13" xfId="0" applyNumberFormat="1" applyFill="1" applyBorder="1" applyAlignment="1">
      <alignment/>
    </xf>
  </cellXfs>
  <cellStyles count="47">
    <cellStyle name="Normal" xfId="0"/>
    <cellStyle name="20 % - Accent1" xfId="15"/>
    <cellStyle name="20 % - Accent2" xfId="16"/>
    <cellStyle name="20 % - Accent3" xfId="17"/>
    <cellStyle name="20 % - Accent4" xfId="18"/>
    <cellStyle name="20 % - Accent5" xfId="19"/>
    <cellStyle name="20 % - Accent6" xfId="20"/>
    <cellStyle name="40 % - Accent1" xfId="21"/>
    <cellStyle name="40 % - Accent2" xfId="22"/>
    <cellStyle name="40 % - Accent3" xfId="23"/>
    <cellStyle name="40 % - Accent4" xfId="24"/>
    <cellStyle name="40 % - Accent5" xfId="25"/>
    <cellStyle name="40 % - Accent6" xfId="26"/>
    <cellStyle name="60 % - Accent1" xfId="27"/>
    <cellStyle name="60 % - Accent2" xfId="28"/>
    <cellStyle name="60 % - Accent3" xfId="29"/>
    <cellStyle name="60 % - Accent4" xfId="30"/>
    <cellStyle name="60 % - Accent5" xfId="31"/>
    <cellStyle name="60 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53"/>
  <sheetViews>
    <sheetView zoomScale="120" zoomScaleNormal="120" zoomScalePageLayoutView="0" workbookViewId="0" topLeftCell="A30">
      <selection activeCell="D46" sqref="D46"/>
    </sheetView>
  </sheetViews>
  <sheetFormatPr defaultColWidth="11.00390625" defaultRowHeight="12.75"/>
  <cols>
    <col min="1" max="1" width="12.875" style="0" customWidth="1"/>
    <col min="2" max="2" width="12.00390625" style="0" customWidth="1"/>
    <col min="3" max="3" width="16.25390625" style="0" customWidth="1"/>
    <col min="4" max="4" width="3.125" style="0" customWidth="1"/>
    <col min="5" max="5" width="12.875" style="0" customWidth="1"/>
    <col min="6" max="6" width="19.625" style="0" customWidth="1"/>
    <col min="7" max="7" width="4.125" style="0" customWidth="1"/>
    <col min="8" max="8" width="12.00390625" style="0" customWidth="1"/>
    <col min="9" max="9" width="15.125" style="0" customWidth="1"/>
    <col min="10" max="10" width="13.25390625" style="0" customWidth="1"/>
  </cols>
  <sheetData>
    <row r="1" ht="9.75" customHeight="1"/>
    <row r="2" spans="1:10" s="24" customFormat="1" ht="21.75" customHeight="1">
      <c r="A2" s="58" t="s">
        <v>42</v>
      </c>
      <c r="B2" s="58"/>
      <c r="C2" s="58"/>
      <c r="D2" s="58"/>
      <c r="E2" s="58"/>
      <c r="F2" s="58"/>
      <c r="G2" s="58"/>
      <c r="H2" s="58"/>
      <c r="I2" s="58"/>
      <c r="J2" s="58"/>
    </row>
    <row r="3" spans="2:10" ht="13.5">
      <c r="B3" s="55" t="s">
        <v>0</v>
      </c>
      <c r="C3" s="55"/>
      <c r="E3" s="56" t="s">
        <v>1</v>
      </c>
      <c r="F3" s="56"/>
      <c r="H3" s="57" t="s">
        <v>13</v>
      </c>
      <c r="I3" s="57"/>
      <c r="J3" s="57"/>
    </row>
    <row r="4" spans="1:10" s="2" customFormat="1" ht="13.5">
      <c r="A4" s="7" t="s">
        <v>2</v>
      </c>
      <c r="B4" s="8" t="s">
        <v>16</v>
      </c>
      <c r="C4" s="8" t="s">
        <v>17</v>
      </c>
      <c r="D4" s="9"/>
      <c r="E4" s="8" t="s">
        <v>16</v>
      </c>
      <c r="F4" s="8" t="s">
        <v>17</v>
      </c>
      <c r="H4" s="8" t="s">
        <v>18</v>
      </c>
      <c r="I4" s="8" t="s">
        <v>19</v>
      </c>
      <c r="J4" s="3" t="s">
        <v>21</v>
      </c>
    </row>
    <row r="5" spans="1:10" s="2" customFormat="1" ht="13.5">
      <c r="A5" s="7"/>
      <c r="B5" s="8" t="s">
        <v>12</v>
      </c>
      <c r="C5" s="8" t="s">
        <v>14</v>
      </c>
      <c r="D5" s="9"/>
      <c r="E5" s="8" t="s">
        <v>12</v>
      </c>
      <c r="F5" s="8" t="s">
        <v>20</v>
      </c>
      <c r="H5" s="8" t="s">
        <v>12</v>
      </c>
      <c r="I5" s="8" t="s">
        <v>15</v>
      </c>
      <c r="J5" s="3" t="s">
        <v>22</v>
      </c>
    </row>
    <row r="6" spans="1:10" ht="13.5">
      <c r="A6" s="4">
        <v>0</v>
      </c>
      <c r="B6" s="5">
        <v>20000</v>
      </c>
      <c r="C6" s="5">
        <v>20000</v>
      </c>
      <c r="E6" s="5">
        <v>20000</v>
      </c>
      <c r="F6" s="5">
        <v>20000</v>
      </c>
      <c r="H6" s="5">
        <v>20000</v>
      </c>
      <c r="I6" s="5">
        <v>20000</v>
      </c>
      <c r="J6" s="5">
        <v>0</v>
      </c>
    </row>
    <row r="7" spans="1:10" ht="13.5">
      <c r="A7" s="4">
        <v>1</v>
      </c>
      <c r="B7" s="1">
        <f>B6*1.07+6000</f>
        <v>27400</v>
      </c>
      <c r="C7" s="1">
        <f aca="true" t="shared" si="0" ref="C7:C26">(C6*1.07+6000)*0.9955</f>
        <v>27276.7</v>
      </c>
      <c r="E7" s="1">
        <f aca="true" t="shared" si="1" ref="E7:E26">E6*1.07+6000</f>
        <v>27400</v>
      </c>
      <c r="F7" s="1">
        <f>(F6*1.07+6000)*0.9905</f>
        <v>27139.7</v>
      </c>
      <c r="H7" s="1">
        <f aca="true" t="shared" si="2" ref="H7:H26">H6*1.07+6000</f>
        <v>27400</v>
      </c>
      <c r="I7" s="1">
        <f>(I6*1.07+6000)*0.9996</f>
        <v>27389.04</v>
      </c>
      <c r="J7" s="1">
        <f>I6*0.01</f>
        <v>200</v>
      </c>
    </row>
    <row r="8" spans="1:10" ht="13.5">
      <c r="A8" s="4">
        <v>2</v>
      </c>
      <c r="B8" s="1">
        <f aca="true" t="shared" si="3" ref="B8:B26">B7*1.07+6000</f>
        <v>35318</v>
      </c>
      <c r="C8" s="1">
        <f t="shared" si="0"/>
        <v>35027.731689500004</v>
      </c>
      <c r="E8" s="1">
        <f t="shared" si="1"/>
        <v>35318</v>
      </c>
      <c r="F8" s="1">
        <f aca="true" t="shared" si="4" ref="F8:F26">(F7*1.07+6000)*0.9905</f>
        <v>34706.60394950001</v>
      </c>
      <c r="H8" s="1">
        <f t="shared" si="2"/>
        <v>35318</v>
      </c>
      <c r="I8" s="1">
        <f aca="true" t="shared" si="5" ref="I8:I26">(I7*1.07+6000)*0.9996</f>
        <v>35292.15029088001</v>
      </c>
      <c r="J8" s="1">
        <f aca="true" t="shared" si="6" ref="J8:J26">I7*0.01</f>
        <v>273.8904</v>
      </c>
    </row>
    <row r="9" spans="1:10" ht="13.5">
      <c r="A9" s="4">
        <v>3</v>
      </c>
      <c r="B9" s="1">
        <f t="shared" si="3"/>
        <v>43790.26</v>
      </c>
      <c r="C9" s="1">
        <f t="shared" si="0"/>
        <v>43284.01437968007</v>
      </c>
      <c r="E9" s="1">
        <f t="shared" si="1"/>
        <v>43790.26</v>
      </c>
      <c r="F9" s="1">
        <f t="shared" si="4"/>
        <v>42726.27359681835</v>
      </c>
      <c r="H9" s="1">
        <f t="shared" si="2"/>
        <v>43790.26</v>
      </c>
      <c r="I9" s="1">
        <f t="shared" si="5"/>
        <v>43745.09577091712</v>
      </c>
      <c r="J9" s="1">
        <f t="shared" si="6"/>
        <v>352.9215029088001</v>
      </c>
    </row>
    <row r="10" spans="1:10" ht="13.5">
      <c r="A10" s="4">
        <v>4</v>
      </c>
      <c r="B10" s="1">
        <f t="shared" si="3"/>
        <v>52855.5782</v>
      </c>
      <c r="C10" s="1">
        <f t="shared" si="0"/>
        <v>52078.48285701952</v>
      </c>
      <c r="E10" s="1">
        <f t="shared" si="1"/>
        <v>52855.5782</v>
      </c>
      <c r="F10" s="1">
        <f t="shared" si="4"/>
        <v>51225.80017748397</v>
      </c>
      <c r="H10" s="1">
        <f t="shared" si="2"/>
        <v>52855.5782</v>
      </c>
      <c r="I10" s="1">
        <f t="shared" si="5"/>
        <v>52786.129573891376</v>
      </c>
      <c r="J10" s="1">
        <f t="shared" si="6"/>
        <v>437.45095770917123</v>
      </c>
    </row>
    <row r="11" spans="1:10" ht="13.5">
      <c r="A11" s="4">
        <v>5</v>
      </c>
      <c r="B11" s="1">
        <f t="shared" si="3"/>
        <v>62555.46867400001</v>
      </c>
      <c r="C11" s="1">
        <f t="shared" si="0"/>
        <v>61446.21876205434</v>
      </c>
      <c r="E11" s="1">
        <f t="shared" si="1"/>
        <v>62555.46867400001</v>
      </c>
      <c r="F11" s="1">
        <f t="shared" si="4"/>
        <v>60233.89593110373</v>
      </c>
      <c r="H11" s="1">
        <f t="shared" si="2"/>
        <v>62555.46867400001</v>
      </c>
      <c r="I11" s="1">
        <f t="shared" si="5"/>
        <v>62456.16618060615</v>
      </c>
      <c r="J11" s="1">
        <f t="shared" si="6"/>
        <v>527.8612957389138</v>
      </c>
    </row>
    <row r="12" spans="1:10" ht="13.5">
      <c r="A12" s="4">
        <v>6</v>
      </c>
      <c r="B12" s="1">
        <f t="shared" si="3"/>
        <v>72934.35148118001</v>
      </c>
      <c r="C12" s="1">
        <f t="shared" si="0"/>
        <v>71424.59053205885</v>
      </c>
      <c r="E12" s="1">
        <f t="shared" si="1"/>
        <v>72934.35148118001</v>
      </c>
      <c r="F12" s="1">
        <f t="shared" si="4"/>
        <v>69780.99109414133</v>
      </c>
      <c r="H12" s="1">
        <f t="shared" si="2"/>
        <v>72934.35148118001</v>
      </c>
      <c r="I12" s="1">
        <f t="shared" si="5"/>
        <v>72798.96657412329</v>
      </c>
      <c r="J12" s="1">
        <f t="shared" si="6"/>
        <v>624.5616618060616</v>
      </c>
    </row>
    <row r="13" spans="1:10" ht="13.5">
      <c r="A13" s="4">
        <v>7</v>
      </c>
      <c r="B13" s="1">
        <f t="shared" si="3"/>
        <v>84039.75608486262</v>
      </c>
      <c r="C13" s="1">
        <f t="shared" si="0"/>
        <v>82053.40246589111</v>
      </c>
      <c r="E13" s="1">
        <f t="shared" si="1"/>
        <v>84039.75608486262</v>
      </c>
      <c r="F13" s="1">
        <f t="shared" si="4"/>
        <v>79899.33669625928</v>
      </c>
      <c r="H13" s="1">
        <f t="shared" si="2"/>
        <v>84039.75608486262</v>
      </c>
      <c r="I13" s="1">
        <f t="shared" si="5"/>
        <v>83861.33627661821</v>
      </c>
      <c r="J13" s="1">
        <f t="shared" si="6"/>
        <v>727.9896657412329</v>
      </c>
    </row>
    <row r="14" spans="1:10" ht="13.5">
      <c r="A14" s="4">
        <v>8</v>
      </c>
      <c r="B14" s="1">
        <f t="shared" si="3"/>
        <v>95922.53901080301</v>
      </c>
      <c r="C14" s="1">
        <f t="shared" si="0"/>
        <v>93375.05350563023</v>
      </c>
      <c r="E14" s="1">
        <f t="shared" si="1"/>
        <v>95922.53901080301</v>
      </c>
      <c r="F14" s="1">
        <f t="shared" si="4"/>
        <v>90623.11350747997</v>
      </c>
      <c r="H14" s="1">
        <f t="shared" si="2"/>
        <v>95922.53901080301</v>
      </c>
      <c r="I14" s="1">
        <f t="shared" si="5"/>
        <v>95693.3371640551</v>
      </c>
      <c r="J14" s="1">
        <f t="shared" si="6"/>
        <v>838.6133627661821</v>
      </c>
    </row>
    <row r="15" spans="1:10" ht="13.5">
      <c r="A15" s="4">
        <v>9</v>
      </c>
      <c r="B15" s="1">
        <f t="shared" si="3"/>
        <v>108637.11674155924</v>
      </c>
      <c r="C15" s="1">
        <f t="shared" si="0"/>
        <v>105434.70636839475</v>
      </c>
      <c r="E15" s="1">
        <f t="shared" si="1"/>
        <v>108637.11674155924</v>
      </c>
      <c r="F15" s="1">
        <f t="shared" si="4"/>
        <v>101988.54750420003</v>
      </c>
      <c r="H15" s="1">
        <f t="shared" si="2"/>
        <v>108637.11674155924</v>
      </c>
      <c r="I15" s="1">
        <f t="shared" si="5"/>
        <v>108348.51401723277</v>
      </c>
      <c r="J15" s="1">
        <f t="shared" si="6"/>
        <v>956.9333716405511</v>
      </c>
    </row>
    <row r="16" spans="1:10" ht="13.5">
      <c r="A16" s="4">
        <v>10</v>
      </c>
      <c r="B16" s="1">
        <f t="shared" si="3"/>
        <v>122241.71491346839</v>
      </c>
      <c r="C16" s="1">
        <f t="shared" si="0"/>
        <v>118280.46770301857</v>
      </c>
      <c r="E16" s="1">
        <f t="shared" si="1"/>
        <v>122241.71491346839</v>
      </c>
      <c r="F16" s="1">
        <f t="shared" si="4"/>
        <v>114034.03224411386</v>
      </c>
      <c r="H16" s="1">
        <f t="shared" si="2"/>
        <v>122241.71491346839</v>
      </c>
      <c r="I16" s="1">
        <f t="shared" si="5"/>
        <v>121884.13683443969</v>
      </c>
      <c r="J16" s="1">
        <f t="shared" si="6"/>
        <v>1083.4851401723276</v>
      </c>
    </row>
    <row r="17" spans="1:10" ht="13.5">
      <c r="A17" s="4">
        <v>11</v>
      </c>
      <c r="B17" s="1">
        <f t="shared" si="3"/>
        <v>136798.63495741118</v>
      </c>
      <c r="C17" s="1">
        <f t="shared" si="0"/>
        <v>131963.57999023987</v>
      </c>
      <c r="E17" s="1">
        <f t="shared" si="1"/>
        <v>136798.63495741118</v>
      </c>
      <c r="F17" s="1">
        <f t="shared" si="4"/>
        <v>126800.25856344041</v>
      </c>
      <c r="H17" s="1">
        <f t="shared" si="2"/>
        <v>136798.63495741118</v>
      </c>
      <c r="I17" s="1">
        <f t="shared" si="5"/>
        <v>136361.46000228534</v>
      </c>
      <c r="J17" s="1">
        <f t="shared" si="6"/>
        <v>1218.8413683443969</v>
      </c>
    </row>
    <row r="18" spans="1:10" ht="13.5">
      <c r="A18" s="4">
        <v>12</v>
      </c>
      <c r="B18" s="1">
        <f t="shared" si="3"/>
        <v>152374.53940442996</v>
      </c>
      <c r="C18" s="1">
        <f t="shared" si="0"/>
        <v>146538.62595190367</v>
      </c>
      <c r="E18" s="1">
        <f t="shared" si="1"/>
        <v>152374.53940442996</v>
      </c>
      <c r="F18" s="1">
        <f t="shared" si="4"/>
        <v>140330.3520345839</v>
      </c>
      <c r="H18" s="1">
        <f t="shared" si="2"/>
        <v>152374.53940442996</v>
      </c>
      <c r="I18" s="1">
        <f t="shared" si="5"/>
        <v>151845.99949756436</v>
      </c>
      <c r="J18" s="1">
        <f t="shared" si="6"/>
        <v>1363.6146000228534</v>
      </c>
    </row>
    <row r="19" spans="1:10" ht="13.5">
      <c r="A19" s="4">
        <v>13</v>
      </c>
      <c r="B19" s="1">
        <f t="shared" si="3"/>
        <v>169040.75716274008</v>
      </c>
      <c r="C19" s="1">
        <f t="shared" si="0"/>
        <v>162063.74628457852</v>
      </c>
      <c r="E19" s="1">
        <f t="shared" si="1"/>
        <v>169040.75716274008</v>
      </c>
      <c r="F19" s="1">
        <f t="shared" si="4"/>
        <v>154670.01864857323</v>
      </c>
      <c r="H19" s="1">
        <f t="shared" si="2"/>
        <v>169040.75716274008</v>
      </c>
      <c r="I19" s="1">
        <f t="shared" si="5"/>
        <v>168407.82937460893</v>
      </c>
      <c r="J19" s="1">
        <f t="shared" si="6"/>
        <v>1518.4599949756437</v>
      </c>
    </row>
    <row r="20" spans="1:10" ht="13.5">
      <c r="A20" s="4">
        <v>14</v>
      </c>
      <c r="B20" s="1">
        <f t="shared" si="3"/>
        <v>186873.61016413188</v>
      </c>
      <c r="C20" s="1">
        <f t="shared" si="0"/>
        <v>178600.8715861388</v>
      </c>
      <c r="E20" s="1">
        <f t="shared" si="1"/>
        <v>186873.61016413188</v>
      </c>
      <c r="F20" s="1">
        <f t="shared" si="4"/>
        <v>169867.69921441062</v>
      </c>
      <c r="H20" s="1">
        <f t="shared" si="2"/>
        <v>186873.61016413188</v>
      </c>
      <c r="I20" s="1">
        <f t="shared" si="5"/>
        <v>186121.89887985925</v>
      </c>
      <c r="J20" s="1">
        <f t="shared" si="6"/>
        <v>1684.0782937460895</v>
      </c>
    </row>
    <row r="21" spans="1:10" ht="13.5">
      <c r="A21" s="4">
        <v>15</v>
      </c>
      <c r="B21" s="1">
        <f t="shared" si="3"/>
        <v>205954.76287562112</v>
      </c>
      <c r="C21" s="1">
        <f t="shared" si="0"/>
        <v>196215.96940048126</v>
      </c>
      <c r="E21" s="1">
        <f t="shared" si="1"/>
        <v>205954.76287562112</v>
      </c>
      <c r="F21" s="1">
        <f t="shared" si="4"/>
        <v>185974.7329969049</v>
      </c>
      <c r="H21" s="1">
        <f t="shared" si="2"/>
        <v>205954.76287562112</v>
      </c>
      <c r="I21" s="1">
        <f t="shared" si="5"/>
        <v>205068.37162872884</v>
      </c>
      <c r="J21" s="1">
        <f t="shared" si="6"/>
        <v>1861.2189887985926</v>
      </c>
    </row>
    <row r="22" spans="1:10" ht="13.5">
      <c r="A22" s="4">
        <v>16</v>
      </c>
      <c r="B22" s="1">
        <f t="shared" si="3"/>
        <v>226371.5962769146</v>
      </c>
      <c r="C22" s="1">
        <f t="shared" si="0"/>
        <v>214979.30736585168</v>
      </c>
      <c r="E22" s="1">
        <f t="shared" si="1"/>
        <v>226371.5962769146</v>
      </c>
      <c r="F22" s="1">
        <f t="shared" si="4"/>
        <v>203045.53114577473</v>
      </c>
      <c r="H22" s="1">
        <f t="shared" si="2"/>
        <v>226371.5962769146</v>
      </c>
      <c r="I22" s="1">
        <f t="shared" si="5"/>
        <v>225332.9883796828</v>
      </c>
      <c r="J22" s="1">
        <f t="shared" si="6"/>
        <v>2050.6837162872885</v>
      </c>
    </row>
    <row r="23" spans="1:10" ht="13.5">
      <c r="A23" s="4">
        <v>17</v>
      </c>
      <c r="B23" s="1">
        <f t="shared" si="3"/>
        <v>248217.60801629865</v>
      </c>
      <c r="C23" s="1">
        <f t="shared" si="0"/>
        <v>234965.73351649474</v>
      </c>
      <c r="E23" s="1">
        <f t="shared" si="1"/>
        <v>248217.60801629865</v>
      </c>
      <c r="F23" s="1">
        <f t="shared" si="4"/>
        <v>221137.76050188218</v>
      </c>
      <c r="H23" s="1">
        <f t="shared" si="2"/>
        <v>248217.60801629865</v>
      </c>
      <c r="I23" s="1">
        <f t="shared" si="5"/>
        <v>247007.4550472341</v>
      </c>
      <c r="J23" s="1">
        <f t="shared" si="6"/>
        <v>2253.329883796828</v>
      </c>
    </row>
    <row r="24" spans="1:10" ht="13.5">
      <c r="A24" s="4">
        <v>18</v>
      </c>
      <c r="B24" s="1">
        <f t="shared" si="3"/>
        <v>271592.8405774396</v>
      </c>
      <c r="C24" s="1">
        <f t="shared" si="0"/>
        <v>256254.97485576748</v>
      </c>
      <c r="E24" s="1">
        <f t="shared" si="1"/>
        <v>271592.8405774396</v>
      </c>
      <c r="F24" s="1">
        <f>(F23*1.07+6000)*0.9905</f>
        <v>240312.53840151234</v>
      </c>
      <c r="H24" s="1">
        <f t="shared" si="2"/>
        <v>271592.8405774396</v>
      </c>
      <c r="I24" s="1">
        <f t="shared" si="5"/>
        <v>270189.85770978034</v>
      </c>
      <c r="J24" s="1">
        <f t="shared" si="6"/>
        <v>2470.0745504723413</v>
      </c>
    </row>
    <row r="25" spans="1:10" ht="13.5">
      <c r="A25" s="4">
        <v>19</v>
      </c>
      <c r="B25" s="1">
        <f t="shared" si="3"/>
        <v>296604.3394178604</v>
      </c>
      <c r="C25" s="1">
        <f t="shared" si="0"/>
        <v>278931.95539174066</v>
      </c>
      <c r="E25" s="1">
        <f t="shared" si="1"/>
        <v>296604.3394178604</v>
      </c>
      <c r="F25" s="1">
        <f t="shared" si="4"/>
        <v>260634.63913676687</v>
      </c>
      <c r="H25" s="1">
        <f t="shared" si="2"/>
        <v>296604.3394178604</v>
      </c>
      <c r="I25" s="1">
        <f t="shared" si="5"/>
        <v>294985.1064903652</v>
      </c>
      <c r="J25" s="1">
        <f t="shared" si="6"/>
        <v>2701.8985770978034</v>
      </c>
    </row>
    <row r="26" spans="1:10" ht="13.5">
      <c r="A26" s="4">
        <v>20</v>
      </c>
      <c r="B26" s="6">
        <f t="shared" si="3"/>
        <v>323366.64317711064</v>
      </c>
      <c r="C26" s="21">
        <f t="shared" si="0"/>
        <v>303087.1349039513</v>
      </c>
      <c r="E26" s="1">
        <f t="shared" si="1"/>
        <v>323366.64317711064</v>
      </c>
      <c r="F26" s="20">
        <f t="shared" si="4"/>
        <v>282172.71276951535</v>
      </c>
      <c r="H26" s="1">
        <f t="shared" si="2"/>
        <v>323366.64317711064</v>
      </c>
      <c r="I26" s="19">
        <f t="shared" si="5"/>
        <v>321505.4103191129</v>
      </c>
      <c r="J26" s="1">
        <f t="shared" si="6"/>
        <v>2949.8510649036516</v>
      </c>
    </row>
    <row r="27" spans="10:11" ht="13.5">
      <c r="J27" s="59">
        <f>SUM(J6:J26)</f>
        <v>26095.75839692873</v>
      </c>
      <c r="K27" t="s">
        <v>44</v>
      </c>
    </row>
    <row r="29" spans="1:10" s="23" customFormat="1" ht="21" customHeight="1">
      <c r="A29" s="41" t="s">
        <v>23</v>
      </c>
      <c r="B29" s="41"/>
      <c r="C29" s="41"/>
      <c r="D29" s="41"/>
      <c r="E29" s="41"/>
      <c r="F29" s="41"/>
      <c r="G29" s="41"/>
      <c r="H29" s="41"/>
      <c r="I29" s="41"/>
      <c r="J29" s="41"/>
    </row>
    <row r="30" spans="1:10" ht="13.5">
      <c r="A30" s="3"/>
      <c r="B30" s="3"/>
      <c r="C30" s="22" t="s">
        <v>0</v>
      </c>
      <c r="D30" s="3"/>
      <c r="E30" s="42" t="s">
        <v>1</v>
      </c>
      <c r="F30" s="43"/>
      <c r="G30" s="3"/>
      <c r="H30" s="44" t="s">
        <v>13</v>
      </c>
      <c r="I30" s="45"/>
      <c r="J30" s="46"/>
    </row>
    <row r="31" spans="1:10" ht="13.5">
      <c r="A31" s="2" t="s">
        <v>24</v>
      </c>
      <c r="C31" s="10">
        <f>7%-0.45%-0.5%</f>
        <v>0.060500000000000005</v>
      </c>
      <c r="E31" s="47">
        <v>0.0605</v>
      </c>
      <c r="F31" s="48"/>
      <c r="H31" s="47">
        <f>7%-0.04%</f>
        <v>0.06960000000000001</v>
      </c>
      <c r="I31" s="52"/>
      <c r="J31" s="53"/>
    </row>
    <row r="32" spans="1:10" ht="13.5">
      <c r="A32" s="2" t="s">
        <v>5</v>
      </c>
      <c r="C32" s="11">
        <f>C26*0.0655</f>
        <v>19852.207336208812</v>
      </c>
      <c r="E32" s="14"/>
      <c r="F32" s="15">
        <f>F26*0.0605</f>
        <v>17071.449122555678</v>
      </c>
      <c r="H32" s="14"/>
      <c r="I32" s="25">
        <f>E26*0.0694</f>
        <v>22441.645036491478</v>
      </c>
      <c r="J32" s="26">
        <f>F26*0.0696</f>
        <v>19639.220808758266</v>
      </c>
    </row>
    <row r="33" spans="1:10" ht="13.5">
      <c r="A33" s="2" t="s">
        <v>4</v>
      </c>
      <c r="C33" s="12">
        <f>C32*0.155</f>
        <v>3077.092137112366</v>
      </c>
      <c r="E33" s="14"/>
      <c r="F33" s="16">
        <v>0</v>
      </c>
      <c r="H33" s="14"/>
      <c r="I33" s="25">
        <f>I32*0.155</f>
        <v>3478.454980656179</v>
      </c>
      <c r="J33" s="26">
        <f>J32*0.155</f>
        <v>3044.079225357531</v>
      </c>
    </row>
    <row r="34" spans="1:10" ht="13.5">
      <c r="A34" s="2" t="s">
        <v>6</v>
      </c>
      <c r="B34" t="s">
        <v>3</v>
      </c>
      <c r="C34" s="12">
        <v>0</v>
      </c>
      <c r="E34" s="14"/>
      <c r="F34" s="15">
        <f>F32*0.075</f>
        <v>1280.3586841916758</v>
      </c>
      <c r="H34" s="14"/>
      <c r="I34" s="25">
        <f>I32*0.6*0.14</f>
        <v>1885.0981830652845</v>
      </c>
      <c r="J34" s="26">
        <f>J32*0.6*0.3</f>
        <v>3535.0597455764873</v>
      </c>
    </row>
    <row r="35" spans="1:10" ht="13.5">
      <c r="A35" s="2" t="s">
        <v>8</v>
      </c>
      <c r="C35" s="12">
        <v>0</v>
      </c>
      <c r="E35" s="14"/>
      <c r="F35" s="16">
        <v>0</v>
      </c>
      <c r="H35" s="14"/>
      <c r="I35" s="25">
        <f>I32*0.15</f>
        <v>3366.246755473722</v>
      </c>
      <c r="J35" s="26">
        <f>J32*0.15</f>
        <v>2945.8831213137396</v>
      </c>
    </row>
    <row r="36" spans="1:10" ht="13.5">
      <c r="A36" s="2" t="s">
        <v>9</v>
      </c>
      <c r="C36" s="12">
        <v>0</v>
      </c>
      <c r="E36" s="14"/>
      <c r="F36" s="16">
        <v>0</v>
      </c>
      <c r="H36" s="14"/>
      <c r="I36" s="25">
        <f>I35</f>
        <v>3366.246755473722</v>
      </c>
      <c r="J36" s="26">
        <f>J35</f>
        <v>2945.8831213137396</v>
      </c>
    </row>
    <row r="37" spans="1:10" ht="13.5">
      <c r="A37" s="2" t="s">
        <v>7</v>
      </c>
      <c r="C37" s="33">
        <f>C32-C33</f>
        <v>16775.115199096446</v>
      </c>
      <c r="E37" s="14"/>
      <c r="F37" s="34">
        <f>F32-F34</f>
        <v>15791.090438364</v>
      </c>
      <c r="H37" s="14"/>
      <c r="I37" s="35">
        <f>I32-I33-I34+I36</f>
        <v>20444.33862824374</v>
      </c>
      <c r="J37" s="36">
        <f>J32-J33-J34+J36</f>
        <v>16005.964959137988</v>
      </c>
    </row>
    <row r="38" spans="1:10" ht="13.5">
      <c r="A38" s="2" t="s">
        <v>25</v>
      </c>
      <c r="C38" s="13">
        <f>C37/12</f>
        <v>1397.9262665913704</v>
      </c>
      <c r="E38" s="14"/>
      <c r="F38" s="17">
        <f>F37/12</f>
        <v>1315.924203197</v>
      </c>
      <c r="H38" s="14"/>
      <c r="I38" s="27">
        <f>I37/12</f>
        <v>1703.6948856869783</v>
      </c>
      <c r="J38" s="28">
        <f>J37/12</f>
        <v>1333.830413261499</v>
      </c>
    </row>
    <row r="39" spans="5:10" ht="13.5">
      <c r="E39" s="14"/>
      <c r="F39" s="18"/>
      <c r="H39" s="30" t="s">
        <v>28</v>
      </c>
      <c r="I39" s="31" t="s">
        <v>10</v>
      </c>
      <c r="J39" s="32" t="s">
        <v>11</v>
      </c>
    </row>
    <row r="40" spans="5:10" ht="13.5">
      <c r="E40" s="49" t="s">
        <v>26</v>
      </c>
      <c r="F40" s="48"/>
      <c r="H40" s="14"/>
      <c r="I40" s="29"/>
      <c r="J40" s="18"/>
    </row>
    <row r="41" spans="5:10" ht="13.5">
      <c r="E41" s="50" t="s">
        <v>27</v>
      </c>
      <c r="F41" s="51"/>
      <c r="H41" s="50" t="s">
        <v>29</v>
      </c>
      <c r="I41" s="54"/>
      <c r="J41" s="51"/>
    </row>
    <row r="43" spans="1:10" s="23" customFormat="1" ht="21" customHeight="1">
      <c r="A43" s="41" t="s">
        <v>30</v>
      </c>
      <c r="B43" s="41"/>
      <c r="C43" s="41"/>
      <c r="D43" s="41"/>
      <c r="E43" s="41"/>
      <c r="F43" s="41"/>
      <c r="G43" s="41"/>
      <c r="H43" s="41"/>
      <c r="I43" s="41"/>
      <c r="J43" s="41"/>
    </row>
    <row r="45" spans="1:7" s="2" customFormat="1" ht="13.5">
      <c r="A45" s="2" t="s">
        <v>31</v>
      </c>
      <c r="C45" s="38">
        <f>(20000+6000*20)</f>
        <v>140000</v>
      </c>
      <c r="E45" s="37" t="s">
        <v>40</v>
      </c>
      <c r="G45" s="37"/>
    </row>
    <row r="46" spans="3:10" ht="13.5">
      <c r="C46" s="60" t="s">
        <v>0</v>
      </c>
      <c r="D46" s="2"/>
      <c r="E46" s="62" t="s">
        <v>1</v>
      </c>
      <c r="F46" s="63"/>
      <c r="G46" s="2"/>
      <c r="H46" s="62" t="s">
        <v>13</v>
      </c>
      <c r="I46" s="66"/>
      <c r="J46" s="63"/>
    </row>
    <row r="47" spans="1:10" ht="13.5">
      <c r="A47" t="s">
        <v>36</v>
      </c>
      <c r="C47" s="12">
        <f>C26</f>
        <v>303087.1349039513</v>
      </c>
      <c r="E47" s="14"/>
      <c r="F47" s="15">
        <f>F26</f>
        <v>282172.71276951535</v>
      </c>
      <c r="H47" s="14"/>
      <c r="I47" s="67">
        <f>I26</f>
        <v>321505.4103191129</v>
      </c>
      <c r="J47" s="15">
        <f>I26</f>
        <v>321505.4103191129</v>
      </c>
    </row>
    <row r="48" spans="1:10" ht="13.5">
      <c r="A48" t="s">
        <v>32</v>
      </c>
      <c r="C48" s="11">
        <f>C47-C45</f>
        <v>163087.13490395132</v>
      </c>
      <c r="E48" s="14"/>
      <c r="F48" s="64">
        <f>F47-C45</f>
        <v>142172.71276951535</v>
      </c>
      <c r="H48" s="14"/>
      <c r="I48" s="67">
        <f>I47-C45</f>
        <v>181505.41031911288</v>
      </c>
      <c r="J48" s="15">
        <f>J47-C45</f>
        <v>181505.41031911288</v>
      </c>
    </row>
    <row r="49" spans="1:10" ht="13.5">
      <c r="A49" t="s">
        <v>33</v>
      </c>
      <c r="B49" t="s">
        <v>38</v>
      </c>
      <c r="C49" s="61">
        <f>C48*0.845</f>
        <v>137808.62899383885</v>
      </c>
      <c r="E49" s="30" t="s">
        <v>34</v>
      </c>
      <c r="F49" s="65">
        <f>F48*0.925</f>
        <v>131509.7593118017</v>
      </c>
      <c r="H49" s="14" t="s">
        <v>41</v>
      </c>
      <c r="I49" s="68">
        <f>I48-I48*0.155-(I48*0.45*0.14)</f>
        <v>141937.23086954627</v>
      </c>
      <c r="J49" s="69">
        <f>J48-J48*0.155-(J48*0.45*0.3)</f>
        <v>128868.84132657014</v>
      </c>
    </row>
    <row r="50" spans="1:10" ht="13.5">
      <c r="A50" t="s">
        <v>37</v>
      </c>
      <c r="E50" s="14"/>
      <c r="F50" s="18"/>
      <c r="H50" s="14"/>
      <c r="I50" s="29"/>
      <c r="J50" s="18"/>
    </row>
    <row r="51" spans="5:10" ht="13.5">
      <c r="E51" s="50" t="s">
        <v>35</v>
      </c>
      <c r="F51" s="51"/>
      <c r="H51" s="30" t="s">
        <v>28</v>
      </c>
      <c r="I51" s="31" t="s">
        <v>10</v>
      </c>
      <c r="J51" s="32" t="s">
        <v>11</v>
      </c>
    </row>
    <row r="52" spans="8:10" ht="13.5">
      <c r="H52" s="14"/>
      <c r="I52" s="29"/>
      <c r="J52" s="18"/>
    </row>
    <row r="53" spans="8:10" ht="13.5">
      <c r="H53" s="50" t="s">
        <v>39</v>
      </c>
      <c r="I53" s="54"/>
      <c r="J53" s="51"/>
    </row>
  </sheetData>
  <sheetProtection/>
  <mergeCells count="17">
    <mergeCell ref="A2:J2"/>
    <mergeCell ref="H3:J3"/>
    <mergeCell ref="H31:J31"/>
    <mergeCell ref="H41:J41"/>
    <mergeCell ref="B3:C3"/>
    <mergeCell ref="E3:F3"/>
    <mergeCell ref="A29:J29"/>
    <mergeCell ref="A43:J43"/>
    <mergeCell ref="E46:F46"/>
    <mergeCell ref="E51:F51"/>
    <mergeCell ref="H46:J46"/>
    <mergeCell ref="H53:J53"/>
    <mergeCell ref="E30:F30"/>
    <mergeCell ref="H30:J30"/>
    <mergeCell ref="E31:F31"/>
    <mergeCell ref="E40:F40"/>
    <mergeCell ref="E41:F41"/>
  </mergeCells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2"/>
  <sheetViews>
    <sheetView tabSelected="1" zoomScale="127" zoomScaleNormal="127" zoomScalePageLayoutView="0" workbookViewId="0" topLeftCell="A21">
      <selection activeCell="L39" sqref="L39"/>
    </sheetView>
  </sheetViews>
  <sheetFormatPr defaultColWidth="11.00390625" defaultRowHeight="12.75"/>
  <cols>
    <col min="1" max="1" width="12.875" style="0" customWidth="1"/>
    <col min="2" max="2" width="12.00390625" style="0" customWidth="1"/>
    <col min="3" max="3" width="16.25390625" style="0" customWidth="1"/>
    <col min="4" max="4" width="3.125" style="0" customWidth="1"/>
    <col min="5" max="5" width="12.875" style="0" customWidth="1"/>
    <col min="6" max="6" width="19.625" style="0" customWidth="1"/>
    <col min="7" max="7" width="4.125" style="0" customWidth="1"/>
    <col min="8" max="8" width="12.00390625" style="0" customWidth="1"/>
    <col min="9" max="9" width="15.125" style="0" customWidth="1"/>
    <col min="10" max="10" width="13.25390625" style="0" customWidth="1"/>
  </cols>
  <sheetData>
    <row r="2" spans="1:10" s="24" customFormat="1" ht="15.75">
      <c r="A2" s="58" t="s">
        <v>42</v>
      </c>
      <c r="B2" s="58"/>
      <c r="C2" s="58"/>
      <c r="D2" s="58"/>
      <c r="E2" s="58"/>
      <c r="F2" s="58"/>
      <c r="G2" s="58"/>
      <c r="H2" s="58"/>
      <c r="I2" s="58"/>
      <c r="J2" s="58"/>
    </row>
    <row r="3" spans="2:10" ht="13.5">
      <c r="B3" s="55" t="s">
        <v>0</v>
      </c>
      <c r="C3" s="55"/>
      <c r="E3" s="56" t="s">
        <v>1</v>
      </c>
      <c r="F3" s="56"/>
      <c r="H3" s="57" t="s">
        <v>13</v>
      </c>
      <c r="I3" s="57"/>
      <c r="J3" s="57"/>
    </row>
    <row r="4" spans="1:10" s="2" customFormat="1" ht="13.5">
      <c r="A4" s="7" t="s">
        <v>2</v>
      </c>
      <c r="B4" s="8" t="s">
        <v>16</v>
      </c>
      <c r="C4" s="8" t="s">
        <v>17</v>
      </c>
      <c r="D4" s="9"/>
      <c r="E4" s="8" t="s">
        <v>16</v>
      </c>
      <c r="F4" s="8" t="s">
        <v>17</v>
      </c>
      <c r="H4" s="8" t="s">
        <v>18</v>
      </c>
      <c r="I4" s="8" t="s">
        <v>19</v>
      </c>
      <c r="J4" s="3" t="s">
        <v>21</v>
      </c>
    </row>
    <row r="5" spans="1:10" s="2" customFormat="1" ht="13.5">
      <c r="A5" s="7"/>
      <c r="B5" s="8" t="s">
        <v>12</v>
      </c>
      <c r="C5" s="8" t="s">
        <v>14</v>
      </c>
      <c r="D5" s="9"/>
      <c r="E5" s="8" t="s">
        <v>12</v>
      </c>
      <c r="F5" s="8" t="s">
        <v>20</v>
      </c>
      <c r="H5" s="8" t="s">
        <v>12</v>
      </c>
      <c r="I5" s="8" t="s">
        <v>15</v>
      </c>
      <c r="J5" s="3" t="s">
        <v>22</v>
      </c>
    </row>
    <row r="6" spans="1:10" ht="13.5">
      <c r="A6" s="4">
        <v>0</v>
      </c>
      <c r="B6" s="5">
        <v>20000</v>
      </c>
      <c r="C6" s="5">
        <v>20000</v>
      </c>
      <c r="E6" s="5">
        <v>20000</v>
      </c>
      <c r="F6" s="5">
        <v>20000</v>
      </c>
      <c r="H6" s="5">
        <v>20000</v>
      </c>
      <c r="I6" s="5">
        <v>20000</v>
      </c>
      <c r="J6" s="5">
        <v>0</v>
      </c>
    </row>
    <row r="7" spans="1:10" ht="13.5">
      <c r="A7" s="4">
        <v>1</v>
      </c>
      <c r="B7" s="1">
        <f>B6*1.07+6000</f>
        <v>27400</v>
      </c>
      <c r="C7" s="1">
        <f aca="true" t="shared" si="0" ref="C7:C26">(C6*1.07+6000)*0.9955</f>
        <v>27276.7</v>
      </c>
      <c r="E7" s="1">
        <f aca="true" t="shared" si="1" ref="E7:E26">E6*1.07+6000</f>
        <v>27400</v>
      </c>
      <c r="F7" s="1">
        <f>(F6*1.07+6000)*0.9905</f>
        <v>27139.7</v>
      </c>
      <c r="H7" s="1">
        <f aca="true" t="shared" si="2" ref="H7:H26">H6*1.07+6000</f>
        <v>27400</v>
      </c>
      <c r="I7" s="1">
        <f>(I6*1.07+6000)*0.9996</f>
        <v>27389.04</v>
      </c>
      <c r="J7" s="1">
        <f>I6*0.01</f>
        <v>200</v>
      </c>
    </row>
    <row r="8" spans="1:10" ht="13.5">
      <c r="A8" s="4">
        <v>2</v>
      </c>
      <c r="B8" s="1">
        <f aca="true" t="shared" si="3" ref="B8:B36">B7*1.07+6000</f>
        <v>35318</v>
      </c>
      <c r="C8" s="1">
        <f t="shared" si="0"/>
        <v>35027.731689500004</v>
      </c>
      <c r="E8" s="1">
        <f t="shared" si="1"/>
        <v>35318</v>
      </c>
      <c r="F8" s="1">
        <f aca="true" t="shared" si="4" ref="F8:F36">(F7*1.07+6000)*0.9905</f>
        <v>34706.60394950001</v>
      </c>
      <c r="H8" s="1">
        <f t="shared" si="2"/>
        <v>35318</v>
      </c>
      <c r="I8" s="1">
        <f aca="true" t="shared" si="5" ref="I8:I36">(I7*1.07+6000)*0.9996</f>
        <v>35292.15029088001</v>
      </c>
      <c r="J8" s="1">
        <f aca="true" t="shared" si="6" ref="J8:J36">I7*0.01</f>
        <v>273.8904</v>
      </c>
    </row>
    <row r="9" spans="1:10" ht="13.5">
      <c r="A9" s="4">
        <v>3</v>
      </c>
      <c r="B9" s="1">
        <f t="shared" si="3"/>
        <v>43790.26</v>
      </c>
      <c r="C9" s="1">
        <f t="shared" si="0"/>
        <v>43284.01437968007</v>
      </c>
      <c r="E9" s="1">
        <f t="shared" si="1"/>
        <v>43790.26</v>
      </c>
      <c r="F9" s="1">
        <f t="shared" si="4"/>
        <v>42726.27359681835</v>
      </c>
      <c r="H9" s="1">
        <f t="shared" si="2"/>
        <v>43790.26</v>
      </c>
      <c r="I9" s="1">
        <f t="shared" si="5"/>
        <v>43745.09577091712</v>
      </c>
      <c r="J9" s="1">
        <f t="shared" si="6"/>
        <v>352.9215029088001</v>
      </c>
    </row>
    <row r="10" spans="1:10" ht="13.5">
      <c r="A10" s="4">
        <v>4</v>
      </c>
      <c r="B10" s="1">
        <f t="shared" si="3"/>
        <v>52855.5782</v>
      </c>
      <c r="C10" s="1">
        <f t="shared" si="0"/>
        <v>52078.48285701952</v>
      </c>
      <c r="E10" s="1">
        <f t="shared" si="1"/>
        <v>52855.5782</v>
      </c>
      <c r="F10" s="1">
        <f t="shared" si="4"/>
        <v>51225.80017748397</v>
      </c>
      <c r="H10" s="1">
        <f t="shared" si="2"/>
        <v>52855.5782</v>
      </c>
      <c r="I10" s="1">
        <f t="shared" si="5"/>
        <v>52786.129573891376</v>
      </c>
      <c r="J10" s="1">
        <f t="shared" si="6"/>
        <v>437.45095770917123</v>
      </c>
    </row>
    <row r="11" spans="1:10" ht="13.5">
      <c r="A11" s="4">
        <v>5</v>
      </c>
      <c r="B11" s="1">
        <f t="shared" si="3"/>
        <v>62555.46867400001</v>
      </c>
      <c r="C11" s="1">
        <f t="shared" si="0"/>
        <v>61446.21876205434</v>
      </c>
      <c r="E11" s="1">
        <f t="shared" si="1"/>
        <v>62555.46867400001</v>
      </c>
      <c r="F11" s="1">
        <f t="shared" si="4"/>
        <v>60233.89593110373</v>
      </c>
      <c r="H11" s="1">
        <f t="shared" si="2"/>
        <v>62555.46867400001</v>
      </c>
      <c r="I11" s="1">
        <f t="shared" si="5"/>
        <v>62456.16618060615</v>
      </c>
      <c r="J11" s="1">
        <f t="shared" si="6"/>
        <v>527.8612957389138</v>
      </c>
    </row>
    <row r="12" spans="1:10" ht="13.5">
      <c r="A12" s="4">
        <v>6</v>
      </c>
      <c r="B12" s="1">
        <f t="shared" si="3"/>
        <v>72934.35148118001</v>
      </c>
      <c r="C12" s="1">
        <f t="shared" si="0"/>
        <v>71424.59053205885</v>
      </c>
      <c r="E12" s="1">
        <f t="shared" si="1"/>
        <v>72934.35148118001</v>
      </c>
      <c r="F12" s="1">
        <f t="shared" si="4"/>
        <v>69780.99109414133</v>
      </c>
      <c r="H12" s="1">
        <f t="shared" si="2"/>
        <v>72934.35148118001</v>
      </c>
      <c r="I12" s="1">
        <f t="shared" si="5"/>
        <v>72798.96657412329</v>
      </c>
      <c r="J12" s="1">
        <f t="shared" si="6"/>
        <v>624.5616618060616</v>
      </c>
    </row>
    <row r="13" spans="1:10" ht="13.5">
      <c r="A13" s="4">
        <v>7</v>
      </c>
      <c r="B13" s="1">
        <f t="shared" si="3"/>
        <v>84039.75608486262</v>
      </c>
      <c r="C13" s="1">
        <f t="shared" si="0"/>
        <v>82053.40246589111</v>
      </c>
      <c r="E13" s="1">
        <f t="shared" si="1"/>
        <v>84039.75608486262</v>
      </c>
      <c r="F13" s="1">
        <f t="shared" si="4"/>
        <v>79899.33669625928</v>
      </c>
      <c r="H13" s="1">
        <f t="shared" si="2"/>
        <v>84039.75608486262</v>
      </c>
      <c r="I13" s="1">
        <f t="shared" si="5"/>
        <v>83861.33627661821</v>
      </c>
      <c r="J13" s="1">
        <f t="shared" si="6"/>
        <v>727.9896657412329</v>
      </c>
    </row>
    <row r="14" spans="1:10" ht="13.5">
      <c r="A14" s="4">
        <v>8</v>
      </c>
      <c r="B14" s="1">
        <f t="shared" si="3"/>
        <v>95922.53901080301</v>
      </c>
      <c r="C14" s="1">
        <f t="shared" si="0"/>
        <v>93375.05350563023</v>
      </c>
      <c r="E14" s="1">
        <f t="shared" si="1"/>
        <v>95922.53901080301</v>
      </c>
      <c r="F14" s="1">
        <f t="shared" si="4"/>
        <v>90623.11350747997</v>
      </c>
      <c r="H14" s="1">
        <f t="shared" si="2"/>
        <v>95922.53901080301</v>
      </c>
      <c r="I14" s="1">
        <f t="shared" si="5"/>
        <v>95693.3371640551</v>
      </c>
      <c r="J14" s="1">
        <f t="shared" si="6"/>
        <v>838.6133627661821</v>
      </c>
    </row>
    <row r="15" spans="1:10" ht="13.5">
      <c r="A15" s="4">
        <v>9</v>
      </c>
      <c r="B15" s="1">
        <f t="shared" si="3"/>
        <v>108637.11674155924</v>
      </c>
      <c r="C15" s="1">
        <f t="shared" si="0"/>
        <v>105434.70636839475</v>
      </c>
      <c r="E15" s="1">
        <f t="shared" si="1"/>
        <v>108637.11674155924</v>
      </c>
      <c r="F15" s="1">
        <f t="shared" si="4"/>
        <v>101988.54750420003</v>
      </c>
      <c r="H15" s="1">
        <f t="shared" si="2"/>
        <v>108637.11674155924</v>
      </c>
      <c r="I15" s="1">
        <f t="shared" si="5"/>
        <v>108348.51401723277</v>
      </c>
      <c r="J15" s="1">
        <f t="shared" si="6"/>
        <v>956.9333716405511</v>
      </c>
    </row>
    <row r="16" spans="1:10" ht="13.5">
      <c r="A16" s="4">
        <v>10</v>
      </c>
      <c r="B16" s="1">
        <f t="shared" si="3"/>
        <v>122241.71491346839</v>
      </c>
      <c r="C16" s="1">
        <f t="shared" si="0"/>
        <v>118280.46770301857</v>
      </c>
      <c r="E16" s="1">
        <f t="shared" si="1"/>
        <v>122241.71491346839</v>
      </c>
      <c r="F16" s="1">
        <f t="shared" si="4"/>
        <v>114034.03224411386</v>
      </c>
      <c r="H16" s="1">
        <f t="shared" si="2"/>
        <v>122241.71491346839</v>
      </c>
      <c r="I16" s="1">
        <f t="shared" si="5"/>
        <v>121884.13683443969</v>
      </c>
      <c r="J16" s="1">
        <f t="shared" si="6"/>
        <v>1083.4851401723276</v>
      </c>
    </row>
    <row r="17" spans="1:10" ht="13.5">
      <c r="A17" s="4">
        <v>11</v>
      </c>
      <c r="B17" s="1">
        <f t="shared" si="3"/>
        <v>136798.63495741118</v>
      </c>
      <c r="C17" s="1">
        <f t="shared" si="0"/>
        <v>131963.57999023987</v>
      </c>
      <c r="E17" s="1">
        <f t="shared" si="1"/>
        <v>136798.63495741118</v>
      </c>
      <c r="F17" s="1">
        <f t="shared" si="4"/>
        <v>126800.25856344041</v>
      </c>
      <c r="H17" s="1">
        <f t="shared" si="2"/>
        <v>136798.63495741118</v>
      </c>
      <c r="I17" s="1">
        <f t="shared" si="5"/>
        <v>136361.46000228534</v>
      </c>
      <c r="J17" s="1">
        <f t="shared" si="6"/>
        <v>1218.8413683443969</v>
      </c>
    </row>
    <row r="18" spans="1:10" ht="13.5">
      <c r="A18" s="4">
        <v>12</v>
      </c>
      <c r="B18" s="1">
        <f t="shared" si="3"/>
        <v>152374.53940442996</v>
      </c>
      <c r="C18" s="1">
        <f t="shared" si="0"/>
        <v>146538.62595190367</v>
      </c>
      <c r="E18" s="1">
        <f t="shared" si="1"/>
        <v>152374.53940442996</v>
      </c>
      <c r="F18" s="1">
        <f t="shared" si="4"/>
        <v>140330.3520345839</v>
      </c>
      <c r="H18" s="1">
        <f t="shared" si="2"/>
        <v>152374.53940442996</v>
      </c>
      <c r="I18" s="1">
        <f t="shared" si="5"/>
        <v>151845.99949756436</v>
      </c>
      <c r="J18" s="1">
        <f t="shared" si="6"/>
        <v>1363.6146000228534</v>
      </c>
    </row>
    <row r="19" spans="1:10" ht="13.5">
      <c r="A19" s="4">
        <v>13</v>
      </c>
      <c r="B19" s="1">
        <f t="shared" si="3"/>
        <v>169040.75716274008</v>
      </c>
      <c r="C19" s="1">
        <f t="shared" si="0"/>
        <v>162063.74628457852</v>
      </c>
      <c r="E19" s="1">
        <f t="shared" si="1"/>
        <v>169040.75716274008</v>
      </c>
      <c r="F19" s="1">
        <f t="shared" si="4"/>
        <v>154670.01864857323</v>
      </c>
      <c r="H19" s="1">
        <f t="shared" si="2"/>
        <v>169040.75716274008</v>
      </c>
      <c r="I19" s="1">
        <f t="shared" si="5"/>
        <v>168407.82937460893</v>
      </c>
      <c r="J19" s="1">
        <f t="shared" si="6"/>
        <v>1518.4599949756437</v>
      </c>
    </row>
    <row r="20" spans="1:10" ht="13.5">
      <c r="A20" s="4">
        <v>14</v>
      </c>
      <c r="B20" s="1">
        <f t="shared" si="3"/>
        <v>186873.61016413188</v>
      </c>
      <c r="C20" s="1">
        <f t="shared" si="0"/>
        <v>178600.8715861388</v>
      </c>
      <c r="E20" s="1">
        <f t="shared" si="1"/>
        <v>186873.61016413188</v>
      </c>
      <c r="F20" s="1">
        <f t="shared" si="4"/>
        <v>169867.69921441062</v>
      </c>
      <c r="H20" s="1">
        <f t="shared" si="2"/>
        <v>186873.61016413188</v>
      </c>
      <c r="I20" s="1">
        <f t="shared" si="5"/>
        <v>186121.89887985925</v>
      </c>
      <c r="J20" s="1">
        <f t="shared" si="6"/>
        <v>1684.0782937460895</v>
      </c>
    </row>
    <row r="21" spans="1:10" ht="13.5">
      <c r="A21" s="4">
        <v>15</v>
      </c>
      <c r="B21" s="1">
        <f t="shared" si="3"/>
        <v>205954.76287562112</v>
      </c>
      <c r="C21" s="1">
        <f t="shared" si="0"/>
        <v>196215.96940048126</v>
      </c>
      <c r="E21" s="1">
        <f t="shared" si="1"/>
        <v>205954.76287562112</v>
      </c>
      <c r="F21" s="1">
        <f t="shared" si="4"/>
        <v>185974.7329969049</v>
      </c>
      <c r="H21" s="1">
        <f t="shared" si="2"/>
        <v>205954.76287562112</v>
      </c>
      <c r="I21" s="1">
        <f t="shared" si="5"/>
        <v>205068.37162872884</v>
      </c>
      <c r="J21" s="1">
        <f t="shared" si="6"/>
        <v>1861.2189887985926</v>
      </c>
    </row>
    <row r="22" spans="1:10" ht="13.5">
      <c r="A22" s="4">
        <v>16</v>
      </c>
      <c r="B22" s="1">
        <f t="shared" si="3"/>
        <v>226371.5962769146</v>
      </c>
      <c r="C22" s="1">
        <f t="shared" si="0"/>
        <v>214979.30736585168</v>
      </c>
      <c r="E22" s="1">
        <f t="shared" si="1"/>
        <v>226371.5962769146</v>
      </c>
      <c r="F22" s="1">
        <f t="shared" si="4"/>
        <v>203045.53114577473</v>
      </c>
      <c r="H22" s="1">
        <f t="shared" si="2"/>
        <v>226371.5962769146</v>
      </c>
      <c r="I22" s="1">
        <f t="shared" si="5"/>
        <v>225332.9883796828</v>
      </c>
      <c r="J22" s="1">
        <f t="shared" si="6"/>
        <v>2050.6837162872885</v>
      </c>
    </row>
    <row r="23" spans="1:10" ht="13.5">
      <c r="A23" s="4">
        <v>17</v>
      </c>
      <c r="B23" s="1">
        <f t="shared" si="3"/>
        <v>248217.60801629865</v>
      </c>
      <c r="C23" s="1">
        <f t="shared" si="0"/>
        <v>234965.73351649474</v>
      </c>
      <c r="E23" s="1">
        <f t="shared" si="1"/>
        <v>248217.60801629865</v>
      </c>
      <c r="F23" s="1">
        <f t="shared" si="4"/>
        <v>221137.76050188218</v>
      </c>
      <c r="H23" s="1">
        <f t="shared" si="2"/>
        <v>248217.60801629865</v>
      </c>
      <c r="I23" s="1">
        <f t="shared" si="5"/>
        <v>247007.4550472341</v>
      </c>
      <c r="J23" s="1">
        <f t="shared" si="6"/>
        <v>2253.329883796828</v>
      </c>
    </row>
    <row r="24" spans="1:10" ht="13.5">
      <c r="A24" s="4">
        <v>18</v>
      </c>
      <c r="B24" s="1">
        <f t="shared" si="3"/>
        <v>271592.8405774396</v>
      </c>
      <c r="C24" s="1">
        <f t="shared" si="0"/>
        <v>256254.97485576748</v>
      </c>
      <c r="E24" s="1">
        <f t="shared" si="1"/>
        <v>271592.8405774396</v>
      </c>
      <c r="F24" s="1">
        <f>(F23*1.07+6000)*0.9905</f>
        <v>240312.53840151234</v>
      </c>
      <c r="H24" s="1">
        <f t="shared" si="2"/>
        <v>271592.8405774396</v>
      </c>
      <c r="I24" s="1">
        <f t="shared" si="5"/>
        <v>270189.85770978034</v>
      </c>
      <c r="J24" s="1">
        <f t="shared" si="6"/>
        <v>2470.0745504723413</v>
      </c>
    </row>
    <row r="25" spans="1:10" ht="13.5">
      <c r="A25" s="4">
        <v>19</v>
      </c>
      <c r="B25" s="1">
        <f t="shared" si="3"/>
        <v>296604.3394178604</v>
      </c>
      <c r="C25" s="1">
        <f t="shared" si="0"/>
        <v>278931.95539174066</v>
      </c>
      <c r="E25" s="1">
        <f t="shared" si="1"/>
        <v>296604.3394178604</v>
      </c>
      <c r="F25" s="1">
        <f t="shared" si="4"/>
        <v>260634.63913676687</v>
      </c>
      <c r="H25" s="1">
        <f t="shared" si="2"/>
        <v>296604.3394178604</v>
      </c>
      <c r="I25" s="1">
        <f t="shared" si="5"/>
        <v>294985.1064903652</v>
      </c>
      <c r="J25" s="1">
        <f t="shared" si="6"/>
        <v>2701.8985770978034</v>
      </c>
    </row>
    <row r="26" spans="1:10" ht="13.5">
      <c r="A26" s="4">
        <v>20</v>
      </c>
      <c r="B26" s="6">
        <f t="shared" si="3"/>
        <v>323366.64317711064</v>
      </c>
      <c r="C26" s="39">
        <f t="shared" si="0"/>
        <v>303087.1349039513</v>
      </c>
      <c r="E26" s="1">
        <f t="shared" si="1"/>
        <v>323366.64317711064</v>
      </c>
      <c r="F26" s="39">
        <f t="shared" si="4"/>
        <v>282172.71276951535</v>
      </c>
      <c r="H26" s="1">
        <f t="shared" si="2"/>
        <v>323366.64317711064</v>
      </c>
      <c r="I26" s="40">
        <f t="shared" si="5"/>
        <v>321505.4103191129</v>
      </c>
      <c r="J26" s="1">
        <f t="shared" si="6"/>
        <v>2949.8510649036516</v>
      </c>
    </row>
    <row r="27" spans="1:10" ht="13.5">
      <c r="A27" s="4">
        <v>21</v>
      </c>
      <c r="B27" s="6">
        <f t="shared" si="3"/>
        <v>352002.3081995084</v>
      </c>
      <c r="C27" s="39">
        <f aca="true" t="shared" si="7" ref="C27:C36">(C26*1.07+6000)*0.9955</f>
        <v>328816.8697926654</v>
      </c>
      <c r="E27" s="1">
        <f aca="true" t="shared" si="8" ref="E27:E36">E26*1.07+6000</f>
        <v>352002.3081995084</v>
      </c>
      <c r="F27" s="39">
        <f t="shared" si="4"/>
        <v>304999.5170380793</v>
      </c>
      <c r="H27" s="1">
        <f aca="true" t="shared" si="9" ref="H27:H36">H26*1.07+6000</f>
        <v>352002.3081995084</v>
      </c>
      <c r="I27" s="40">
        <f t="shared" si="5"/>
        <v>349870.78472583427</v>
      </c>
      <c r="J27" s="1">
        <f t="shared" si="6"/>
        <v>3215.054103191129</v>
      </c>
    </row>
    <row r="28" spans="1:10" ht="13.5">
      <c r="A28" s="4">
        <v>22</v>
      </c>
      <c r="B28" s="6">
        <f t="shared" si="3"/>
        <v>382642.46977347403</v>
      </c>
      <c r="C28" s="39">
        <f t="shared" si="7"/>
        <v>356223.79745010036</v>
      </c>
      <c r="E28" s="1">
        <f t="shared" si="8"/>
        <v>382642.46977347403</v>
      </c>
      <c r="F28" s="39">
        <f t="shared" si="4"/>
        <v>329192.1631400528</v>
      </c>
      <c r="H28" s="1">
        <f t="shared" si="9"/>
        <v>382642.46977347403</v>
      </c>
      <c r="I28" s="40">
        <f t="shared" si="5"/>
        <v>380209.59496078</v>
      </c>
      <c r="J28" s="1">
        <f t="shared" si="6"/>
        <v>3498.7078472583426</v>
      </c>
    </row>
    <row r="29" spans="1:10" ht="13.5">
      <c r="A29" s="4">
        <v>23</v>
      </c>
      <c r="B29" s="6">
        <f t="shared" si="3"/>
        <v>415427.4426576172</v>
      </c>
      <c r="C29" s="39">
        <f t="shared" si="7"/>
        <v>385417.2456868852</v>
      </c>
      <c r="E29" s="1">
        <f t="shared" si="8"/>
        <v>415427.4426576172</v>
      </c>
      <c r="F29" s="39">
        <f t="shared" si="4"/>
        <v>354832.37622153794</v>
      </c>
      <c r="H29" s="1">
        <f t="shared" si="9"/>
        <v>415427.4426576172</v>
      </c>
      <c r="I29" s="40">
        <f t="shared" si="5"/>
        <v>412659.13690139144</v>
      </c>
      <c r="J29" s="1">
        <f t="shared" si="6"/>
        <v>3802.0959496078</v>
      </c>
    </row>
    <row r="30" spans="1:10" ht="13.5">
      <c r="A30" s="4">
        <v>24</v>
      </c>
      <c r="B30" s="6">
        <f t="shared" si="3"/>
        <v>450507.36364365043</v>
      </c>
      <c r="C30" s="39">
        <f t="shared" si="7"/>
        <v>416513.66884698486</v>
      </c>
      <c r="E30" s="1">
        <f t="shared" si="8"/>
        <v>450507.36364365043</v>
      </c>
      <c r="F30" s="39">
        <f t="shared" si="4"/>
        <v>382006.7714527537</v>
      </c>
      <c r="H30" s="1">
        <f t="shared" si="9"/>
        <v>450507.36364365043</v>
      </c>
      <c r="I30" s="40">
        <f t="shared" si="5"/>
        <v>447366.2583738951</v>
      </c>
      <c r="J30" s="1">
        <f t="shared" si="6"/>
        <v>4126.591369013914</v>
      </c>
    </row>
    <row r="31" spans="1:10" ht="13.5">
      <c r="A31" s="4">
        <v>25</v>
      </c>
      <c r="B31" s="6">
        <f t="shared" si="3"/>
        <v>488042.879098706</v>
      </c>
      <c r="C31" s="39">
        <f t="shared" si="7"/>
        <v>449637.1123507756</v>
      </c>
      <c r="E31" s="1">
        <f t="shared" si="8"/>
        <v>488042.879098706</v>
      </c>
      <c r="F31" s="39">
        <f t="shared" si="4"/>
        <v>410807.14662262925</v>
      </c>
      <c r="H31" s="1">
        <f t="shared" si="9"/>
        <v>488042.879098706</v>
      </c>
      <c r="I31" s="40">
        <f t="shared" si="5"/>
        <v>484488.0237014838</v>
      </c>
      <c r="J31" s="1">
        <f t="shared" si="6"/>
        <v>4473.662583738951</v>
      </c>
    </row>
    <row r="32" spans="1:10" ht="13.5">
      <c r="A32" s="4">
        <v>26</v>
      </c>
      <c r="B32" s="6">
        <f t="shared" si="3"/>
        <v>528205.8806356154</v>
      </c>
      <c r="C32" s="39">
        <f t="shared" si="7"/>
        <v>484919.707519361</v>
      </c>
      <c r="E32" s="1">
        <f t="shared" si="8"/>
        <v>528205.8806356154</v>
      </c>
      <c r="F32" s="39">
        <f t="shared" si="4"/>
        <v>441330.79224079434</v>
      </c>
      <c r="H32" s="1">
        <f t="shared" si="9"/>
        <v>528205.8806356154</v>
      </c>
      <c r="I32" s="40">
        <f t="shared" si="5"/>
        <v>524192.42448644346</v>
      </c>
      <c r="J32" s="1">
        <f t="shared" si="6"/>
        <v>4844.880237014838</v>
      </c>
    </row>
    <row r="33" spans="1:10" ht="13.5">
      <c r="A33" s="4">
        <v>27</v>
      </c>
      <c r="B33" s="6">
        <f t="shared" si="3"/>
        <v>571180.2922801086</v>
      </c>
      <c r="C33" s="39">
        <f t="shared" si="7"/>
        <v>522502.19865401066</v>
      </c>
      <c r="E33" s="1">
        <f t="shared" si="8"/>
        <v>571180.2922801086</v>
      </c>
      <c r="F33" s="39">
        <f t="shared" si="4"/>
        <v>473680.8201945223</v>
      </c>
      <c r="H33" s="1">
        <f t="shared" si="9"/>
        <v>571180.2922801086</v>
      </c>
      <c r="I33" s="40">
        <f t="shared" si="5"/>
        <v>566659.1398428143</v>
      </c>
      <c r="J33" s="1">
        <f t="shared" si="6"/>
        <v>5241.9242448644345</v>
      </c>
    </row>
    <row r="34" spans="1:10" ht="13.5">
      <c r="A34" s="4">
        <v>28</v>
      </c>
      <c r="B34" s="6">
        <f t="shared" si="3"/>
        <v>617162.9127397162</v>
      </c>
      <c r="C34" s="39">
        <f t="shared" si="7"/>
        <v>562534.5044732724</v>
      </c>
      <c r="E34" s="1">
        <f t="shared" si="8"/>
        <v>617162.9127397162</v>
      </c>
      <c r="F34" s="39">
        <f t="shared" si="4"/>
        <v>507966.51207086165</v>
      </c>
      <c r="H34" s="1">
        <f t="shared" si="9"/>
        <v>617162.9127397162</v>
      </c>
      <c r="I34" s="40">
        <f t="shared" si="5"/>
        <v>612080.3495199586</v>
      </c>
      <c r="J34" s="1">
        <f t="shared" si="6"/>
        <v>5666.591398428143</v>
      </c>
    </row>
    <row r="35" spans="1:10" ht="13.5">
      <c r="A35" s="4">
        <v>29</v>
      </c>
      <c r="B35" s="6">
        <f t="shared" si="3"/>
        <v>666364.3166314964</v>
      </c>
      <c r="C35" s="39">
        <f t="shared" si="7"/>
        <v>605176.3161473627</v>
      </c>
      <c r="E35" s="1">
        <f t="shared" si="8"/>
        <v>666364.3166314964</v>
      </c>
      <c r="F35" s="39">
        <f t="shared" si="4"/>
        <v>544303.6883206217</v>
      </c>
      <c r="H35" s="1">
        <f t="shared" si="9"/>
        <v>666364.3166314964</v>
      </c>
      <c r="I35" s="40">
        <f t="shared" si="5"/>
        <v>660661.6035967612</v>
      </c>
      <c r="J35" s="1">
        <f t="shared" si="6"/>
        <v>6120.803495199586</v>
      </c>
    </row>
    <row r="36" spans="1:10" ht="13.5">
      <c r="A36" s="4">
        <v>30</v>
      </c>
      <c r="B36" s="6">
        <f t="shared" si="3"/>
        <v>719009.8187957013</v>
      </c>
      <c r="C36" s="39">
        <f t="shared" si="7"/>
        <v>650597.7343154285</v>
      </c>
      <c r="E36" s="1">
        <f t="shared" si="8"/>
        <v>719009.8187957013</v>
      </c>
      <c r="F36" s="39">
        <f t="shared" si="4"/>
        <v>582815.0995112862</v>
      </c>
      <c r="H36" s="1">
        <f t="shared" si="9"/>
        <v>719009.8187957013</v>
      </c>
      <c r="I36" s="40">
        <f t="shared" si="5"/>
        <v>712622.7526821952</v>
      </c>
      <c r="J36" s="1">
        <f t="shared" si="6"/>
        <v>6606.616035967612</v>
      </c>
    </row>
    <row r="37" spans="10:11" ht="13.5">
      <c r="J37" s="5">
        <f>SUM(J6:J36)</f>
        <v>73692.68566121349</v>
      </c>
      <c r="K37" t="s">
        <v>44</v>
      </c>
    </row>
    <row r="38" spans="1:10" s="23" customFormat="1" ht="13.5" customHeight="1">
      <c r="A38" s="41" t="s">
        <v>23</v>
      </c>
      <c r="B38" s="41"/>
      <c r="C38" s="41"/>
      <c r="D38" s="41"/>
      <c r="E38" s="41"/>
      <c r="F38" s="41"/>
      <c r="G38" s="41"/>
      <c r="H38" s="41"/>
      <c r="I38" s="41"/>
      <c r="J38" s="41"/>
    </row>
    <row r="39" spans="1:10" ht="13.5">
      <c r="A39" s="3"/>
      <c r="B39" s="3"/>
      <c r="C39" s="22" t="s">
        <v>0</v>
      </c>
      <c r="D39" s="3"/>
      <c r="E39" s="42" t="s">
        <v>1</v>
      </c>
      <c r="F39" s="43"/>
      <c r="G39" s="3"/>
      <c r="H39" s="44" t="s">
        <v>13</v>
      </c>
      <c r="I39" s="45"/>
      <c r="J39" s="46"/>
    </row>
    <row r="40" spans="1:10" ht="13.5">
      <c r="A40" s="2" t="s">
        <v>24</v>
      </c>
      <c r="C40" s="10">
        <f>7%-0.45%-0.5%</f>
        <v>0.060500000000000005</v>
      </c>
      <c r="E40" s="47">
        <v>0.0605</v>
      </c>
      <c r="F40" s="48"/>
      <c r="H40" s="47">
        <f>7%-0.04%</f>
        <v>0.06960000000000001</v>
      </c>
      <c r="I40" s="52"/>
      <c r="J40" s="53"/>
    </row>
    <row r="41" spans="1:10" ht="13.5">
      <c r="A41" s="2" t="s">
        <v>5</v>
      </c>
      <c r="C41" s="11">
        <f>C36*0.0655</f>
        <v>42614.15159766057</v>
      </c>
      <c r="E41" s="14"/>
      <c r="F41" s="15">
        <f>F36*0.0605</f>
        <v>35260.313520432814</v>
      </c>
      <c r="H41" s="14"/>
      <c r="I41" s="25">
        <f>E36*0.0694</f>
        <v>49899.28142442167</v>
      </c>
      <c r="J41" s="26">
        <f>F36*0.0696</f>
        <v>40563.93092598552</v>
      </c>
    </row>
    <row r="42" spans="1:10" ht="13.5">
      <c r="A42" s="2" t="s">
        <v>4</v>
      </c>
      <c r="C42" s="12">
        <f>C41*0.155</f>
        <v>6605.193497637389</v>
      </c>
      <c r="E42" s="14"/>
      <c r="F42" s="16">
        <v>0</v>
      </c>
      <c r="H42" s="14"/>
      <c r="I42" s="25">
        <f>I41*0.155</f>
        <v>7734.388620785359</v>
      </c>
      <c r="J42" s="26">
        <f>J41*0.155</f>
        <v>6287.409293527756</v>
      </c>
    </row>
    <row r="43" spans="1:10" ht="13.5">
      <c r="A43" s="2" t="s">
        <v>6</v>
      </c>
      <c r="B43" t="s">
        <v>3</v>
      </c>
      <c r="C43" s="12">
        <v>0</v>
      </c>
      <c r="E43" s="14"/>
      <c r="F43" s="15">
        <f>F41*0.075</f>
        <v>2644.5235140324608</v>
      </c>
      <c r="H43" s="14"/>
      <c r="I43" s="25">
        <f>I41*0.6*0.14</f>
        <v>4191.539639651421</v>
      </c>
      <c r="J43" s="26">
        <f>J41*0.6*0.3</f>
        <v>7301.507566677394</v>
      </c>
    </row>
    <row r="44" spans="1:10" ht="13.5">
      <c r="A44" s="2" t="s">
        <v>8</v>
      </c>
      <c r="C44" s="12">
        <v>0</v>
      </c>
      <c r="E44" s="14"/>
      <c r="F44" s="16">
        <v>0</v>
      </c>
      <c r="H44" s="14"/>
      <c r="I44" s="25">
        <f>I41*0.15</f>
        <v>7484.89221366325</v>
      </c>
      <c r="J44" s="26">
        <f>J41*0.15</f>
        <v>6084.589638897828</v>
      </c>
    </row>
    <row r="45" spans="1:10" ht="13.5">
      <c r="A45" s="2" t="s">
        <v>9</v>
      </c>
      <c r="C45" s="12">
        <v>0</v>
      </c>
      <c r="E45" s="14"/>
      <c r="F45" s="16">
        <v>0</v>
      </c>
      <c r="H45" s="14"/>
      <c r="I45" s="25">
        <f>I44</f>
        <v>7484.89221366325</v>
      </c>
      <c r="J45" s="26">
        <f>J44</f>
        <v>6084.589638897828</v>
      </c>
    </row>
    <row r="46" spans="1:10" ht="13.5">
      <c r="A46" s="2" t="s">
        <v>7</v>
      </c>
      <c r="C46" s="33">
        <f>C41-C42</f>
        <v>36008.958100023185</v>
      </c>
      <c r="E46" s="14"/>
      <c r="F46" s="34">
        <f>F41-F43</f>
        <v>32615.79000640035</v>
      </c>
      <c r="H46" s="14"/>
      <c r="I46" s="35">
        <f>I41-I42-I43+I45</f>
        <v>45458.24537764814</v>
      </c>
      <c r="J46" s="36">
        <f>J41-J42-J43+J45</f>
        <v>33059.6037046782</v>
      </c>
    </row>
    <row r="47" spans="1:10" ht="13.5">
      <c r="A47" s="2" t="s">
        <v>25</v>
      </c>
      <c r="C47" s="13">
        <f>C46/12</f>
        <v>3000.7465083352654</v>
      </c>
      <c r="E47" s="14"/>
      <c r="F47" s="17">
        <f>F46/12</f>
        <v>2717.982500533363</v>
      </c>
      <c r="H47" s="14"/>
      <c r="I47" s="27">
        <f>I46/12</f>
        <v>3788.187114804012</v>
      </c>
      <c r="J47" s="28">
        <f>J46/12</f>
        <v>2754.96697538985</v>
      </c>
    </row>
    <row r="48" spans="5:10" ht="13.5">
      <c r="E48" s="14"/>
      <c r="F48" s="18"/>
      <c r="H48" s="30" t="s">
        <v>28</v>
      </c>
      <c r="I48" s="31" t="s">
        <v>10</v>
      </c>
      <c r="J48" s="32" t="s">
        <v>11</v>
      </c>
    </row>
    <row r="49" spans="5:10" ht="13.5">
      <c r="E49" s="49" t="s">
        <v>26</v>
      </c>
      <c r="F49" s="48"/>
      <c r="H49" s="14"/>
      <c r="I49" s="29"/>
      <c r="J49" s="18"/>
    </row>
    <row r="50" spans="5:10" ht="13.5">
      <c r="E50" s="50" t="s">
        <v>27</v>
      </c>
      <c r="F50" s="51"/>
      <c r="H50" s="50" t="s">
        <v>29</v>
      </c>
      <c r="I50" s="54"/>
      <c r="J50" s="51"/>
    </row>
    <row r="52" spans="1:10" s="23" customFormat="1" ht="13.5" customHeight="1">
      <c r="A52" s="41" t="s">
        <v>30</v>
      </c>
      <c r="B52" s="41"/>
      <c r="C52" s="41"/>
      <c r="D52" s="41"/>
      <c r="E52" s="41"/>
      <c r="F52" s="41"/>
      <c r="G52" s="41"/>
      <c r="H52" s="41"/>
      <c r="I52" s="41"/>
      <c r="J52" s="41"/>
    </row>
    <row r="54" spans="1:7" s="2" customFormat="1" ht="13.5">
      <c r="A54" s="2" t="s">
        <v>31</v>
      </c>
      <c r="C54" s="38">
        <f>(20000+6000*30)</f>
        <v>200000</v>
      </c>
      <c r="E54" s="37" t="s">
        <v>43</v>
      </c>
      <c r="G54" s="37"/>
    </row>
    <row r="55" spans="3:10" ht="13.5">
      <c r="C55" s="60" t="s">
        <v>0</v>
      </c>
      <c r="D55" s="2"/>
      <c r="E55" s="62" t="s">
        <v>1</v>
      </c>
      <c r="F55" s="63"/>
      <c r="G55" s="2"/>
      <c r="H55" s="62" t="s">
        <v>13</v>
      </c>
      <c r="I55" s="66"/>
      <c r="J55" s="63"/>
    </row>
    <row r="56" spans="1:10" ht="13.5">
      <c r="A56" t="s">
        <v>36</v>
      </c>
      <c r="C56" s="12">
        <f>C36</f>
        <v>650597.7343154285</v>
      </c>
      <c r="E56" s="14"/>
      <c r="F56" s="15">
        <f>F36</f>
        <v>582815.0995112862</v>
      </c>
      <c r="H56" s="14"/>
      <c r="I56" s="67">
        <f>I36</f>
        <v>712622.7526821952</v>
      </c>
      <c r="J56" s="15">
        <f>I36</f>
        <v>712622.7526821952</v>
      </c>
    </row>
    <row r="57" spans="1:10" ht="13.5">
      <c r="A57" t="s">
        <v>32</v>
      </c>
      <c r="C57" s="11">
        <f>C56-C54</f>
        <v>450597.73431542853</v>
      </c>
      <c r="E57" s="14"/>
      <c r="F57" s="64">
        <f>F56-C54</f>
        <v>382815.09951128624</v>
      </c>
      <c r="H57" s="14"/>
      <c r="I57" s="67">
        <f>I56-C54</f>
        <v>512622.75268219516</v>
      </c>
      <c r="J57" s="15">
        <f>J56-C54</f>
        <v>512622.75268219516</v>
      </c>
    </row>
    <row r="58" spans="1:10" ht="13.5">
      <c r="A58" t="s">
        <v>33</v>
      </c>
      <c r="B58" t="s">
        <v>38</v>
      </c>
      <c r="C58" s="61">
        <f>C57*0.845</f>
        <v>380755.0854965371</v>
      </c>
      <c r="E58" s="30" t="s">
        <v>34</v>
      </c>
      <c r="F58" s="65">
        <f>F57*0.925</f>
        <v>354103.9670479398</v>
      </c>
      <c r="H58" s="14" t="s">
        <v>41</v>
      </c>
      <c r="I58" s="68">
        <f>I57-I57*0.155-(I57*0.45*0.14)</f>
        <v>400870.99259747664</v>
      </c>
      <c r="J58" s="69">
        <f>J57-J57*0.155-(J57*0.45*0.3)</f>
        <v>363962.1544043586</v>
      </c>
    </row>
    <row r="59" spans="1:10" ht="13.5">
      <c r="A59" t="s">
        <v>37</v>
      </c>
      <c r="E59" s="14"/>
      <c r="F59" s="18"/>
      <c r="H59" s="14"/>
      <c r="I59" s="29"/>
      <c r="J59" s="18"/>
    </row>
    <row r="60" spans="5:10" ht="13.5">
      <c r="E60" s="50" t="s">
        <v>35</v>
      </c>
      <c r="F60" s="51"/>
      <c r="H60" s="30" t="s">
        <v>28</v>
      </c>
      <c r="I60" s="31" t="s">
        <v>10</v>
      </c>
      <c r="J60" s="32" t="s">
        <v>11</v>
      </c>
    </row>
    <row r="61" spans="8:10" ht="13.5">
      <c r="H61" s="14"/>
      <c r="I61" s="29"/>
      <c r="J61" s="18"/>
    </row>
    <row r="62" spans="8:10" ht="13.5">
      <c r="H62" s="50" t="s">
        <v>39</v>
      </c>
      <c r="I62" s="54"/>
      <c r="J62" s="51"/>
    </row>
  </sheetData>
  <sheetProtection/>
  <mergeCells count="17">
    <mergeCell ref="A2:J2"/>
    <mergeCell ref="B3:C3"/>
    <mergeCell ref="E3:F3"/>
    <mergeCell ref="H3:J3"/>
    <mergeCell ref="A38:J38"/>
    <mergeCell ref="E39:F39"/>
    <mergeCell ref="H39:J39"/>
    <mergeCell ref="E55:F55"/>
    <mergeCell ref="H55:J55"/>
    <mergeCell ref="E60:F60"/>
    <mergeCell ref="H62:J62"/>
    <mergeCell ref="A52:J52"/>
    <mergeCell ref="E40:F40"/>
    <mergeCell ref="H40:J40"/>
    <mergeCell ref="E49:F49"/>
    <mergeCell ref="E50:F50"/>
    <mergeCell ref="H50:J50"/>
  </mergeCell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</dc:creator>
  <cp:keywords/>
  <dc:description/>
  <cp:lastModifiedBy>Utilisateur de Microsoft Office</cp:lastModifiedBy>
  <dcterms:created xsi:type="dcterms:W3CDTF">2014-01-02T21:54:45Z</dcterms:created>
  <dcterms:modified xsi:type="dcterms:W3CDTF">2017-08-08T14:39:27Z</dcterms:modified>
  <cp:category/>
  <cp:version/>
  <cp:contentType/>
  <cp:contentStatus/>
</cp:coreProperties>
</file>