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EARL\Marchés - EARL de Guillounet\"/>
    </mc:Choice>
  </mc:AlternateContent>
  <workbookProtection lockWindows="1"/>
  <bookViews>
    <workbookView xWindow="0" yWindow="0" windowWidth="16380" windowHeight="8190" tabRatio="1000" firstSheet="8" activeTab="15"/>
  </bookViews>
  <sheets>
    <sheet name="MAI 2016" sheetId="1" r:id="rId1"/>
    <sheet name="JUIN 2016" sheetId="2" state="hidden" r:id="rId2"/>
    <sheet name="JUILLET 2016" sheetId="3" state="hidden" r:id="rId3"/>
    <sheet name="AOUT 2016" sheetId="4" state="hidden" r:id="rId4"/>
    <sheet name="SEPTEMBRE 2016" sheetId="5" state="hidden" r:id="rId5"/>
    <sheet name="OCTOBRE 2016" sheetId="6" state="hidden" r:id="rId6"/>
    <sheet name="NOVEMBRE 2016" sheetId="7" state="hidden" r:id="rId7"/>
    <sheet name="JANVIER2017" sheetId="8" r:id="rId8"/>
    <sheet name="FEVRIER2017" sheetId="9" r:id="rId9"/>
    <sheet name="MARS2017" sheetId="10" r:id="rId10"/>
    <sheet name="AVRIL2017" sheetId="11" r:id="rId11"/>
    <sheet name="MAI2017" sheetId="12" r:id="rId12"/>
    <sheet name="JUIN2017" sheetId="13" r:id="rId13"/>
    <sheet name="JUILLET2017" sheetId="14" r:id="rId14"/>
    <sheet name="AOUT2017" sheetId="15" r:id="rId15"/>
    <sheet name="Vente fruits" sheetId="16" r:id="rId16"/>
    <sheet name="Liste fruits" sheetId="19" r:id="rId17"/>
  </sheets>
  <definedNames>
    <definedName name="_xlnm._FilterDatabase" localSheetId="3">'AOUT 2016'!$AX$1:$AY$61</definedName>
    <definedName name="_xlnm._FilterDatabase" localSheetId="1">'JUIN 2016'!$AV$1:$AW$59</definedName>
    <definedName name="_xlnm.Print_Area" localSheetId="3">'AOUT 2016'!$A$1:$AY$66</definedName>
  </definedNames>
  <calcPr calcId="152511"/>
</workbook>
</file>

<file path=xl/calcChain.xml><?xml version="1.0" encoding="utf-8"?>
<calcChain xmlns="http://schemas.openxmlformats.org/spreadsheetml/2006/main">
  <c r="E2" i="16" l="1"/>
  <c r="AF20" i="15" l="1"/>
  <c r="AF19" i="15"/>
  <c r="AF72" i="15"/>
  <c r="AF57" i="15" l="1"/>
  <c r="AD72" i="15" l="1"/>
  <c r="AD16" i="15"/>
  <c r="AD5" i="15"/>
  <c r="AC5" i="15"/>
  <c r="AD4" i="15"/>
  <c r="AC4" i="15"/>
  <c r="AY33" i="14" l="1"/>
  <c r="AX33" i="14"/>
  <c r="AX33" i="15"/>
  <c r="AY33" i="15" s="1"/>
  <c r="C31" i="16" s="1"/>
  <c r="B31" i="16" l="1"/>
  <c r="AB21" i="15" l="1"/>
  <c r="AB72" i="15"/>
  <c r="AB5" i="15"/>
  <c r="AA5" i="15"/>
  <c r="AB4" i="15"/>
  <c r="AA4" i="15"/>
  <c r="Z11" i="15" l="1"/>
  <c r="Z7" i="15"/>
  <c r="Z72" i="15"/>
  <c r="X25" i="15" l="1"/>
  <c r="X72" i="15"/>
  <c r="X5" i="15"/>
  <c r="W5" i="15"/>
  <c r="X4" i="15"/>
  <c r="W4" i="15"/>
  <c r="V72" i="15" l="1"/>
  <c r="V21" i="15" l="1"/>
  <c r="V39" i="15"/>
  <c r="T72" i="15"/>
  <c r="R25" i="15" l="1"/>
  <c r="R27" i="15"/>
  <c r="R72" i="15"/>
  <c r="R6" i="15"/>
  <c r="Q6" i="15"/>
  <c r="R5" i="15"/>
  <c r="Q5" i="15"/>
  <c r="R4" i="15"/>
  <c r="Q4" i="15"/>
  <c r="P72" i="15" l="1"/>
  <c r="P5" i="15"/>
  <c r="O5" i="15"/>
  <c r="P4" i="15"/>
  <c r="O4" i="15"/>
  <c r="N21" i="15" l="1"/>
  <c r="N72" i="15"/>
  <c r="L25" i="15" l="1"/>
  <c r="L26" i="15"/>
  <c r="L72" i="15"/>
  <c r="L5" i="15"/>
  <c r="K5" i="15"/>
  <c r="L4" i="15"/>
  <c r="K4" i="15"/>
  <c r="J7" i="15" l="1"/>
  <c r="J72" i="15"/>
  <c r="J3" i="15"/>
  <c r="H72" i="15" l="1"/>
  <c r="H34" i="15"/>
  <c r="H5" i="15"/>
  <c r="G5" i="15"/>
  <c r="H4" i="15"/>
  <c r="G4" i="15"/>
  <c r="F20" i="15" l="1"/>
  <c r="F72" i="15"/>
  <c r="D26" i="15" l="1"/>
  <c r="D72" i="15"/>
  <c r="D4" i="15"/>
  <c r="C4" i="15"/>
  <c r="AV77" i="15"/>
  <c r="AT77" i="15"/>
  <c r="AR77" i="15"/>
  <c r="AP77" i="15"/>
  <c r="AN77" i="15"/>
  <c r="AL77" i="15"/>
  <c r="AJ77" i="15"/>
  <c r="AF77" i="15"/>
  <c r="X77" i="15"/>
  <c r="P77" i="15"/>
  <c r="H77" i="15"/>
  <c r="AX74" i="15"/>
  <c r="AX73" i="15"/>
  <c r="AY73" i="15" s="1"/>
  <c r="AH77" i="15"/>
  <c r="AD77" i="15"/>
  <c r="AB77" i="15"/>
  <c r="Z77" i="15"/>
  <c r="V77" i="15"/>
  <c r="T77" i="15"/>
  <c r="R77" i="15"/>
  <c r="N77" i="15"/>
  <c r="L77" i="15"/>
  <c r="J77" i="15"/>
  <c r="F77" i="15"/>
  <c r="D77" i="15"/>
  <c r="AX69" i="15"/>
  <c r="AY69" i="15" s="1"/>
  <c r="AX68" i="15"/>
  <c r="AV68" i="15"/>
  <c r="AT68" i="15"/>
  <c r="AR68" i="15"/>
  <c r="AP68" i="15"/>
  <c r="AN68" i="15"/>
  <c r="AL68" i="15"/>
  <c r="AJ68" i="15"/>
  <c r="AH68" i="15"/>
  <c r="AF68" i="15"/>
  <c r="AD68" i="15"/>
  <c r="AB68" i="15"/>
  <c r="Z68" i="15"/>
  <c r="X68" i="15"/>
  <c r="V68" i="15"/>
  <c r="T68" i="15"/>
  <c r="R68" i="15"/>
  <c r="P68" i="15"/>
  <c r="N68" i="15"/>
  <c r="J68" i="15"/>
  <c r="H68" i="15"/>
  <c r="F68" i="15"/>
  <c r="D68" i="15"/>
  <c r="AX67" i="15"/>
  <c r="AY67" i="15" s="1"/>
  <c r="AX66" i="15"/>
  <c r="AY66" i="15" s="1"/>
  <c r="AV65" i="15"/>
  <c r="AT65" i="15"/>
  <c r="AR65" i="15"/>
  <c r="AP65" i="15"/>
  <c r="AN65" i="15"/>
  <c r="AL65" i="15"/>
  <c r="AJ65" i="15"/>
  <c r="AH65" i="15"/>
  <c r="AF65" i="15"/>
  <c r="AD65" i="15"/>
  <c r="AB65" i="15"/>
  <c r="Z65" i="15"/>
  <c r="X65" i="15"/>
  <c r="V65" i="15"/>
  <c r="T65" i="15"/>
  <c r="R65" i="15"/>
  <c r="P65" i="15"/>
  <c r="N65" i="15"/>
  <c r="L65" i="15"/>
  <c r="J65" i="15"/>
  <c r="H65" i="15"/>
  <c r="F65" i="15"/>
  <c r="D65" i="15"/>
  <c r="AX64" i="15"/>
  <c r="AY64" i="15" s="1"/>
  <c r="AX63" i="15"/>
  <c r="AY63" i="15" s="1"/>
  <c r="AX62" i="15"/>
  <c r="AY62" i="15" s="1"/>
  <c r="AX61" i="15"/>
  <c r="AY61" i="15" s="1"/>
  <c r="AY60" i="15"/>
  <c r="AX60" i="15"/>
  <c r="AX59" i="15"/>
  <c r="AY59" i="15" s="1"/>
  <c r="AX58" i="15"/>
  <c r="AY58" i="15" s="1"/>
  <c r="AX56" i="15"/>
  <c r="AY56" i="15" s="1"/>
  <c r="AV55" i="15"/>
  <c r="AT55" i="15"/>
  <c r="AR55" i="15"/>
  <c r="AP55" i="15"/>
  <c r="AN55" i="15"/>
  <c r="AL55" i="15"/>
  <c r="AJ55" i="15"/>
  <c r="AH55" i="15"/>
  <c r="AF55" i="15"/>
  <c r="AD55" i="15"/>
  <c r="AB55" i="15"/>
  <c r="Z55" i="15"/>
  <c r="X55" i="15"/>
  <c r="V55" i="15"/>
  <c r="T55" i="15"/>
  <c r="R55" i="15"/>
  <c r="P55" i="15"/>
  <c r="N55" i="15"/>
  <c r="L55" i="15"/>
  <c r="J55" i="15"/>
  <c r="H55" i="15"/>
  <c r="F55" i="15"/>
  <c r="D55" i="15"/>
  <c r="AX54" i="15"/>
  <c r="AY54" i="15" s="1"/>
  <c r="AX53" i="15"/>
  <c r="AX52" i="15"/>
  <c r="B50" i="16" s="1"/>
  <c r="AX51" i="15"/>
  <c r="AX50" i="15"/>
  <c r="AX49" i="15"/>
  <c r="AX48" i="15"/>
  <c r="AX47" i="15"/>
  <c r="AX46" i="15"/>
  <c r="AX45" i="15"/>
  <c r="AX44" i="15"/>
  <c r="AX43" i="15"/>
  <c r="AX42" i="15"/>
  <c r="AX41" i="15"/>
  <c r="AX40" i="15"/>
  <c r="AX39" i="15"/>
  <c r="AX38" i="15"/>
  <c r="AX37" i="15"/>
  <c r="AX36" i="15"/>
  <c r="AV35" i="15"/>
  <c r="AT35" i="15"/>
  <c r="AR35" i="15"/>
  <c r="AP35" i="15"/>
  <c r="AN35" i="15"/>
  <c r="AL35" i="15"/>
  <c r="AJ35" i="15"/>
  <c r="AH35" i="15"/>
  <c r="AF35" i="15"/>
  <c r="AD35" i="15"/>
  <c r="AB35" i="15"/>
  <c r="Z35" i="15"/>
  <c r="X35" i="15"/>
  <c r="V35" i="15"/>
  <c r="T35" i="15"/>
  <c r="R35" i="15"/>
  <c r="P35" i="15"/>
  <c r="N35" i="15"/>
  <c r="L35" i="15"/>
  <c r="J35" i="15"/>
  <c r="H35" i="15"/>
  <c r="F35" i="15"/>
  <c r="D35" i="15"/>
  <c r="AX34" i="15"/>
  <c r="AX32" i="15"/>
  <c r="AX31" i="15"/>
  <c r="AX30" i="15"/>
  <c r="AX29" i="15"/>
  <c r="AX28" i="15"/>
  <c r="AX27" i="15"/>
  <c r="AX26" i="15"/>
  <c r="AX25" i="15"/>
  <c r="AX24" i="15"/>
  <c r="AX23" i="15"/>
  <c r="AX22" i="15"/>
  <c r="AX21" i="15"/>
  <c r="AX20" i="15"/>
  <c r="AX19" i="15"/>
  <c r="AX18" i="15"/>
  <c r="AX17" i="15"/>
  <c r="AX16" i="15"/>
  <c r="AY15" i="15"/>
  <c r="C13" i="16" s="1"/>
  <c r="AX15" i="15"/>
  <c r="B13" i="16" s="1"/>
  <c r="AX14" i="15"/>
  <c r="AX13" i="15"/>
  <c r="AX12" i="15"/>
  <c r="AX11" i="15"/>
  <c r="AX10" i="15"/>
  <c r="AX9" i="15"/>
  <c r="AX8" i="15"/>
  <c r="AX7" i="15"/>
  <c r="AX6" i="15"/>
  <c r="AX5" i="15"/>
  <c r="T3" i="15"/>
  <c r="H3" i="15"/>
  <c r="AX4" i="15"/>
  <c r="B2" i="16" s="1"/>
  <c r="AV3" i="15"/>
  <c r="AV70" i="15" s="1"/>
  <c r="AT3" i="15"/>
  <c r="AR3" i="15"/>
  <c r="AP3" i="15"/>
  <c r="AN3" i="15"/>
  <c r="AN70" i="15" s="1"/>
  <c r="AL3" i="15"/>
  <c r="AL70" i="15" s="1"/>
  <c r="AJ3" i="15"/>
  <c r="AH3" i="15"/>
  <c r="AF3" i="15"/>
  <c r="AD3" i="15"/>
  <c r="AB3" i="15"/>
  <c r="Z3" i="15"/>
  <c r="X3" i="15"/>
  <c r="V3" i="15"/>
  <c r="R3" i="15"/>
  <c r="P3" i="15"/>
  <c r="N3" i="15"/>
  <c r="F3" i="15"/>
  <c r="D3" i="15"/>
  <c r="AF70" i="15" l="1"/>
  <c r="AY16" i="15"/>
  <c r="C14" i="16" s="1"/>
  <c r="B14" i="16"/>
  <c r="AY24" i="15"/>
  <c r="C22" i="16" s="1"/>
  <c r="B22" i="16"/>
  <c r="AY47" i="15"/>
  <c r="C45" i="16" s="1"/>
  <c r="B45" i="16"/>
  <c r="AY6" i="15"/>
  <c r="C4" i="16" s="1"/>
  <c r="B4" i="16"/>
  <c r="AY10" i="15"/>
  <c r="C8" i="16" s="1"/>
  <c r="B8" i="16"/>
  <c r="AY14" i="15"/>
  <c r="C12" i="16" s="1"/>
  <c r="B12" i="16"/>
  <c r="AY17" i="15"/>
  <c r="C15" i="16" s="1"/>
  <c r="B15" i="16"/>
  <c r="AY21" i="15"/>
  <c r="C19" i="16" s="1"/>
  <c r="B19" i="16"/>
  <c r="AY25" i="15"/>
  <c r="C23" i="16" s="1"/>
  <c r="B23" i="16"/>
  <c r="AY29" i="15"/>
  <c r="C27" i="16" s="1"/>
  <c r="B27" i="16"/>
  <c r="AY34" i="15"/>
  <c r="C32" i="16" s="1"/>
  <c r="B32" i="16"/>
  <c r="AY36" i="15"/>
  <c r="C34" i="16" s="1"/>
  <c r="B34" i="16"/>
  <c r="AY40" i="15"/>
  <c r="C38" i="16" s="1"/>
  <c r="B38" i="16"/>
  <c r="AY44" i="15"/>
  <c r="C42" i="16" s="1"/>
  <c r="B42" i="16"/>
  <c r="AY48" i="15"/>
  <c r="C46" i="16" s="1"/>
  <c r="B46" i="16"/>
  <c r="AR70" i="15"/>
  <c r="AY9" i="15"/>
  <c r="C7" i="16" s="1"/>
  <c r="B7" i="16"/>
  <c r="AY20" i="15"/>
  <c r="C18" i="16" s="1"/>
  <c r="B18" i="16"/>
  <c r="AY28" i="15"/>
  <c r="C26" i="16" s="1"/>
  <c r="B26" i="16"/>
  <c r="AY43" i="15"/>
  <c r="C41" i="16" s="1"/>
  <c r="B41" i="16"/>
  <c r="AY51" i="15"/>
  <c r="C49" i="16" s="1"/>
  <c r="B49" i="16"/>
  <c r="AP70" i="15"/>
  <c r="AY7" i="15"/>
  <c r="C5" i="16" s="1"/>
  <c r="B5" i="16"/>
  <c r="AY11" i="15"/>
  <c r="C9" i="16" s="1"/>
  <c r="B9" i="16"/>
  <c r="AY18" i="15"/>
  <c r="C16" i="16" s="1"/>
  <c r="B16" i="16"/>
  <c r="AY22" i="15"/>
  <c r="C20" i="16" s="1"/>
  <c r="B20" i="16"/>
  <c r="AY26" i="15"/>
  <c r="C24" i="16" s="1"/>
  <c r="B24" i="16"/>
  <c r="AY30" i="15"/>
  <c r="C28" i="16" s="1"/>
  <c r="B28" i="16"/>
  <c r="AY37" i="15"/>
  <c r="C35" i="16" s="1"/>
  <c r="B35" i="16"/>
  <c r="AY41" i="15"/>
  <c r="C39" i="16" s="1"/>
  <c r="B39" i="16"/>
  <c r="AY45" i="15"/>
  <c r="C43" i="16" s="1"/>
  <c r="B43" i="16"/>
  <c r="AY49" i="15"/>
  <c r="C47" i="16" s="1"/>
  <c r="B47" i="16"/>
  <c r="AY52" i="15"/>
  <c r="C50" i="16" s="1"/>
  <c r="AY5" i="15"/>
  <c r="C3" i="16" s="1"/>
  <c r="B3" i="16"/>
  <c r="AY13" i="15"/>
  <c r="C11" i="16" s="1"/>
  <c r="B11" i="16"/>
  <c r="AY32" i="15"/>
  <c r="C30" i="16" s="1"/>
  <c r="B30" i="16"/>
  <c r="AY39" i="15"/>
  <c r="C37" i="16" s="1"/>
  <c r="B37" i="16"/>
  <c r="AY8" i="15"/>
  <c r="C6" i="16" s="1"/>
  <c r="B6" i="16"/>
  <c r="AY12" i="15"/>
  <c r="C10" i="16" s="1"/>
  <c r="B10" i="16"/>
  <c r="AY19" i="15"/>
  <c r="C17" i="16" s="1"/>
  <c r="B17" i="16"/>
  <c r="AY23" i="15"/>
  <c r="C21" i="16" s="1"/>
  <c r="B21" i="16"/>
  <c r="AY27" i="15"/>
  <c r="C25" i="16" s="1"/>
  <c r="B25" i="16"/>
  <c r="AY31" i="15"/>
  <c r="C29" i="16" s="1"/>
  <c r="B29" i="16"/>
  <c r="AY38" i="15"/>
  <c r="C36" i="16" s="1"/>
  <c r="B36" i="16"/>
  <c r="AY42" i="15"/>
  <c r="C40" i="16" s="1"/>
  <c r="B40" i="16"/>
  <c r="AY46" i="15"/>
  <c r="C44" i="16" s="1"/>
  <c r="B44" i="16"/>
  <c r="AY50" i="15"/>
  <c r="C48" i="16" s="1"/>
  <c r="B48" i="16"/>
  <c r="AY53" i="15"/>
  <c r="C51" i="16" s="1"/>
  <c r="B51" i="16"/>
  <c r="X70" i="15"/>
  <c r="P70" i="15"/>
  <c r="N70" i="15"/>
  <c r="J70" i="15"/>
  <c r="H70" i="15"/>
  <c r="AX35" i="15"/>
  <c r="AY35" i="15" s="1"/>
  <c r="AX65" i="15"/>
  <c r="AY65" i="15" s="1"/>
  <c r="Z70" i="15"/>
  <c r="AH70" i="15"/>
  <c r="AX55" i="15"/>
  <c r="AY55" i="15" s="1"/>
  <c r="V70" i="15"/>
  <c r="AD70" i="15"/>
  <c r="T70" i="15"/>
  <c r="D70" i="15"/>
  <c r="F70" i="15"/>
  <c r="R70" i="15"/>
  <c r="AB70" i="15"/>
  <c r="AJ70" i="15"/>
  <c r="AZ34" i="15"/>
  <c r="AY4" i="15"/>
  <c r="C2" i="16" s="1"/>
  <c r="AY68" i="15"/>
  <c r="AT70" i="15"/>
  <c r="AX72" i="15"/>
  <c r="L3" i="15"/>
  <c r="L70" i="15" s="1"/>
  <c r="AH7" i="14"/>
  <c r="AH71" i="14"/>
  <c r="AX70" i="15" l="1"/>
  <c r="AY70" i="15" s="1"/>
  <c r="AY72" i="15"/>
  <c r="AY77" i="15" s="1"/>
  <c r="AX77" i="15"/>
  <c r="AX3" i="15"/>
  <c r="AF7" i="14"/>
  <c r="AF71" i="14"/>
  <c r="AY3" i="15" l="1"/>
  <c r="AX80" i="15"/>
  <c r="AX81" i="15" s="1"/>
  <c r="AD71" i="14"/>
  <c r="AC6" i="14"/>
  <c r="AD5" i="14"/>
  <c r="AC5" i="14"/>
  <c r="AD4" i="14"/>
  <c r="AC4" i="14"/>
  <c r="AB71" i="14" l="1"/>
  <c r="AB5" i="14"/>
  <c r="AA5" i="14"/>
  <c r="AB4" i="14"/>
  <c r="AA4" i="14"/>
  <c r="Z5" i="14" l="1"/>
  <c r="Z7" i="14"/>
  <c r="Z11" i="14"/>
  <c r="Z71" i="14"/>
  <c r="X23" i="14" l="1"/>
  <c r="X71" i="14"/>
  <c r="W34" i="14"/>
  <c r="X34" i="14"/>
  <c r="X5" i="14"/>
  <c r="W5" i="14"/>
  <c r="X4" i="14"/>
  <c r="W4" i="14"/>
  <c r="V7" i="14" l="1"/>
  <c r="V71" i="14"/>
  <c r="T71" i="14" l="1"/>
  <c r="T5" i="14"/>
  <c r="S5" i="14"/>
  <c r="T4" i="14"/>
  <c r="S4" i="14"/>
  <c r="R34" i="14" l="1"/>
  <c r="R71" i="14"/>
  <c r="R5" i="14"/>
  <c r="Q5" i="14"/>
  <c r="R4" i="14"/>
  <c r="Q4" i="14"/>
  <c r="P71" i="14" l="1"/>
  <c r="N11" i="14" l="1"/>
  <c r="N71" i="14"/>
  <c r="N22" i="14"/>
  <c r="M22" i="14"/>
  <c r="M20" i="14"/>
  <c r="N5" i="14"/>
  <c r="M5" i="14"/>
  <c r="N4" i="14"/>
  <c r="M4" i="14"/>
  <c r="L22" i="14" l="1"/>
  <c r="L21" i="14"/>
  <c r="L20" i="14"/>
  <c r="L71" i="14"/>
  <c r="AX5" i="13" l="1"/>
  <c r="AX6" i="13"/>
  <c r="AX7" i="13"/>
  <c r="AX8" i="13"/>
  <c r="AX9" i="13"/>
  <c r="AX10" i="13"/>
  <c r="AX11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Y33" i="13"/>
  <c r="AX33" i="13"/>
  <c r="AX34" i="13"/>
  <c r="AX37" i="13"/>
  <c r="AX47" i="13"/>
  <c r="AX48" i="13"/>
  <c r="AX54" i="13"/>
  <c r="AX56" i="13"/>
  <c r="AX57" i="13"/>
  <c r="AX58" i="13"/>
  <c r="AX60" i="13"/>
  <c r="AX62" i="13"/>
  <c r="J23" i="14" l="1"/>
  <c r="J22" i="14"/>
  <c r="J21" i="14"/>
  <c r="J7" i="14"/>
  <c r="J4" i="14"/>
  <c r="J5" i="14"/>
  <c r="J71" i="14"/>
  <c r="I16" i="14" l="1"/>
  <c r="I22" i="14"/>
  <c r="I20" i="14"/>
  <c r="J6" i="14"/>
  <c r="I6" i="14"/>
  <c r="I5" i="14"/>
  <c r="I4" i="14"/>
  <c r="AX75" i="13" l="1"/>
  <c r="AX69" i="13"/>
  <c r="AJ64" i="13" l="1"/>
  <c r="AF64" i="13"/>
  <c r="AH64" i="13"/>
  <c r="AD64" i="13"/>
  <c r="AB64" i="13"/>
  <c r="X64" i="13"/>
  <c r="V64" i="13"/>
  <c r="T64" i="13"/>
  <c r="R64" i="13"/>
  <c r="P64" i="13"/>
  <c r="N64" i="13"/>
  <c r="N69" i="13" s="1"/>
  <c r="L64" i="13"/>
  <c r="J64" i="13"/>
  <c r="H64" i="13"/>
  <c r="F64" i="13"/>
  <c r="D64" i="13"/>
  <c r="D55" i="13"/>
  <c r="F55" i="13"/>
  <c r="H55" i="13"/>
  <c r="J55" i="13"/>
  <c r="L55" i="13"/>
  <c r="N55" i="13"/>
  <c r="P55" i="13"/>
  <c r="P69" i="13" s="1"/>
  <c r="R55" i="13"/>
  <c r="T55" i="13"/>
  <c r="V55" i="13"/>
  <c r="X55" i="13"/>
  <c r="Z55" i="13"/>
  <c r="AB55" i="13"/>
  <c r="AD55" i="13"/>
  <c r="AF55" i="13"/>
  <c r="AH55" i="13"/>
  <c r="AJ55" i="13"/>
  <c r="AJ35" i="13"/>
  <c r="AH35" i="13"/>
  <c r="AF35" i="13"/>
  <c r="AD35" i="13"/>
  <c r="AB35" i="13"/>
  <c r="Z35" i="13"/>
  <c r="X35" i="13"/>
  <c r="V35" i="13"/>
  <c r="T35" i="13"/>
  <c r="R35" i="13"/>
  <c r="P35" i="13"/>
  <c r="N35" i="13"/>
  <c r="L35" i="13"/>
  <c r="J35" i="13"/>
  <c r="H35" i="13"/>
  <c r="F35" i="13"/>
  <c r="D35" i="13"/>
  <c r="AJ3" i="13"/>
  <c r="AH3" i="13"/>
  <c r="AF3" i="13"/>
  <c r="AB3" i="13"/>
  <c r="AD3" i="13"/>
  <c r="Z3" i="13"/>
  <c r="X3" i="13"/>
  <c r="V3" i="13"/>
  <c r="T3" i="13"/>
  <c r="R3" i="13"/>
  <c r="P3" i="13"/>
  <c r="N3" i="13"/>
  <c r="L3" i="13"/>
  <c r="J3" i="13"/>
  <c r="H3" i="13"/>
  <c r="F3" i="13"/>
  <c r="D3" i="13"/>
  <c r="AJ69" i="13"/>
  <c r="AV76" i="14"/>
  <c r="AT76" i="14"/>
  <c r="AR76" i="14"/>
  <c r="AP76" i="14"/>
  <c r="AN76" i="14"/>
  <c r="AL76" i="14"/>
  <c r="AJ76" i="14"/>
  <c r="AH76" i="14"/>
  <c r="AF76" i="14"/>
  <c r="AD76" i="14"/>
  <c r="AB76" i="14"/>
  <c r="Z76" i="14"/>
  <c r="X76" i="14"/>
  <c r="V76" i="14"/>
  <c r="T76" i="14"/>
  <c r="R76" i="14"/>
  <c r="P76" i="14"/>
  <c r="N76" i="14"/>
  <c r="L76" i="14"/>
  <c r="J76" i="14"/>
  <c r="AX73" i="14"/>
  <c r="AX72" i="14"/>
  <c r="AY72" i="14" s="1"/>
  <c r="H71" i="14"/>
  <c r="H76" i="14" s="1"/>
  <c r="F71" i="14"/>
  <c r="AX71" i="14" s="1"/>
  <c r="D71" i="14"/>
  <c r="D76" i="14" s="1"/>
  <c r="AV69" i="14"/>
  <c r="AX68" i="14"/>
  <c r="AY68" i="14" s="1"/>
  <c r="AV67" i="14"/>
  <c r="AT67" i="14"/>
  <c r="AR67" i="14"/>
  <c r="AP67" i="14"/>
  <c r="AN67" i="14"/>
  <c r="AL67" i="14"/>
  <c r="AJ67" i="14"/>
  <c r="AH67" i="14"/>
  <c r="AF67" i="14"/>
  <c r="AD67" i="14"/>
  <c r="AB67" i="14"/>
  <c r="Z67" i="14"/>
  <c r="X67" i="14"/>
  <c r="V67" i="14"/>
  <c r="T67" i="14"/>
  <c r="R67" i="14"/>
  <c r="P67" i="14"/>
  <c r="N67" i="14"/>
  <c r="J67" i="14"/>
  <c r="H67" i="14"/>
  <c r="F67" i="14"/>
  <c r="D67" i="14"/>
  <c r="AX66" i="14"/>
  <c r="AY66" i="14" s="1"/>
  <c r="AX65" i="14"/>
  <c r="AY65" i="14" s="1"/>
  <c r="AV64" i="14"/>
  <c r="AT64" i="14"/>
  <c r="AR64" i="14"/>
  <c r="AP64" i="14"/>
  <c r="AN64" i="14"/>
  <c r="AL64" i="14"/>
  <c r="AJ64" i="14"/>
  <c r="AH64" i="14"/>
  <c r="AF64" i="14"/>
  <c r="AD64" i="14"/>
  <c r="AB64" i="14"/>
  <c r="Z64" i="14"/>
  <c r="X64" i="14"/>
  <c r="V64" i="14"/>
  <c r="T64" i="14"/>
  <c r="R64" i="14"/>
  <c r="P64" i="14"/>
  <c r="N64" i="14"/>
  <c r="L64" i="14"/>
  <c r="J64" i="14"/>
  <c r="H64" i="14"/>
  <c r="F64" i="14"/>
  <c r="D64" i="14"/>
  <c r="AX63" i="14"/>
  <c r="AY63" i="14" s="1"/>
  <c r="AY62" i="14"/>
  <c r="AX62" i="14"/>
  <c r="AX61" i="14"/>
  <c r="AY61" i="14" s="1"/>
  <c r="AY60" i="14"/>
  <c r="AX60" i="14"/>
  <c r="AY59" i="14"/>
  <c r="AX59" i="14"/>
  <c r="AX58" i="14"/>
  <c r="AY58" i="14" s="1"/>
  <c r="AX57" i="14"/>
  <c r="AY57" i="14" s="1"/>
  <c r="AX56" i="14"/>
  <c r="AY56" i="14" s="1"/>
  <c r="AV55" i="14"/>
  <c r="AT55" i="14"/>
  <c r="AR55" i="14"/>
  <c r="AP55" i="14"/>
  <c r="AN55" i="14"/>
  <c r="AN69" i="14" s="1"/>
  <c r="AL55" i="14"/>
  <c r="AJ55" i="14"/>
  <c r="AH55" i="14"/>
  <c r="AF55" i="14"/>
  <c r="AD55" i="14"/>
  <c r="AB55" i="14"/>
  <c r="Z55" i="14"/>
  <c r="X55" i="14"/>
  <c r="V55" i="14"/>
  <c r="T55" i="14"/>
  <c r="R55" i="14"/>
  <c r="P55" i="14"/>
  <c r="N55" i="14"/>
  <c r="L55" i="14"/>
  <c r="J55" i="14"/>
  <c r="H55" i="14"/>
  <c r="H69" i="14" s="1"/>
  <c r="F55" i="14"/>
  <c r="D55" i="14"/>
  <c r="AX54" i="14"/>
  <c r="AY54" i="14" s="1"/>
  <c r="AX53" i="14"/>
  <c r="AY53" i="14" s="1"/>
  <c r="AX52" i="14"/>
  <c r="AY52" i="14" s="1"/>
  <c r="AX51" i="14"/>
  <c r="AY51" i="14" s="1"/>
  <c r="AX50" i="14"/>
  <c r="AY50" i="14" s="1"/>
  <c r="AX49" i="14"/>
  <c r="AY49" i="14" s="1"/>
  <c r="AX48" i="14"/>
  <c r="AY48" i="14" s="1"/>
  <c r="AX47" i="14"/>
  <c r="AY47" i="14" s="1"/>
  <c r="AX46" i="14"/>
  <c r="AY46" i="14" s="1"/>
  <c r="AX45" i="14"/>
  <c r="AY45" i="14" s="1"/>
  <c r="AX44" i="14"/>
  <c r="AY44" i="14" s="1"/>
  <c r="AX43" i="14"/>
  <c r="AY43" i="14" s="1"/>
  <c r="AX42" i="14"/>
  <c r="AY42" i="14" s="1"/>
  <c r="AX41" i="14"/>
  <c r="AY41" i="14" s="1"/>
  <c r="AX40" i="14"/>
  <c r="AY40" i="14" s="1"/>
  <c r="AX39" i="14"/>
  <c r="AY39" i="14" s="1"/>
  <c r="AX38" i="14"/>
  <c r="AY38" i="14" s="1"/>
  <c r="AX37" i="14"/>
  <c r="AY37" i="14" s="1"/>
  <c r="AX36" i="14"/>
  <c r="AY36" i="14" s="1"/>
  <c r="AV35" i="14"/>
  <c r="AT35" i="14"/>
  <c r="AR35" i="14"/>
  <c r="AP35" i="14"/>
  <c r="AN35" i="14"/>
  <c r="AL35" i="14"/>
  <c r="AJ35" i="14"/>
  <c r="AH35" i="14"/>
  <c r="AF35" i="14"/>
  <c r="AD35" i="14"/>
  <c r="AB35" i="14"/>
  <c r="Z35" i="14"/>
  <c r="X35" i="14"/>
  <c r="V35" i="14"/>
  <c r="T35" i="14"/>
  <c r="R35" i="14"/>
  <c r="P35" i="14"/>
  <c r="N35" i="14"/>
  <c r="L35" i="14"/>
  <c r="J35" i="14"/>
  <c r="H35" i="14"/>
  <c r="F35" i="14"/>
  <c r="D35" i="14"/>
  <c r="AX34" i="14"/>
  <c r="AY34" i="14" s="1"/>
  <c r="AX32" i="14"/>
  <c r="AY32" i="14" s="1"/>
  <c r="AX31" i="14"/>
  <c r="AY31" i="14" s="1"/>
  <c r="AX30" i="14"/>
  <c r="AY30" i="14" s="1"/>
  <c r="AX29" i="14"/>
  <c r="AY29" i="14" s="1"/>
  <c r="AX28" i="14"/>
  <c r="AY28" i="14" s="1"/>
  <c r="AX27" i="14"/>
  <c r="AY27" i="14" s="1"/>
  <c r="AX26" i="14"/>
  <c r="AY26" i="14" s="1"/>
  <c r="AX25" i="14"/>
  <c r="AY25" i="14" s="1"/>
  <c r="AX24" i="14"/>
  <c r="AY24" i="14" s="1"/>
  <c r="AX23" i="14"/>
  <c r="AY23" i="14" s="1"/>
  <c r="AX22" i="14"/>
  <c r="AY22" i="14" s="1"/>
  <c r="AX21" i="14"/>
  <c r="AY21" i="14" s="1"/>
  <c r="AX20" i="14"/>
  <c r="AY20" i="14" s="1"/>
  <c r="AX19" i="14"/>
  <c r="AY19" i="14" s="1"/>
  <c r="AX18" i="14"/>
  <c r="AY18" i="14" s="1"/>
  <c r="AX17" i="14"/>
  <c r="AY17" i="14" s="1"/>
  <c r="AX16" i="14"/>
  <c r="AY16" i="14" s="1"/>
  <c r="AX15" i="14"/>
  <c r="AY15" i="14" s="1"/>
  <c r="AX14" i="14"/>
  <c r="AY14" i="14" s="1"/>
  <c r="AX13" i="14"/>
  <c r="AY13" i="14" s="1"/>
  <c r="AX12" i="14"/>
  <c r="AY12" i="14" s="1"/>
  <c r="AX11" i="14"/>
  <c r="AY11" i="14" s="1"/>
  <c r="AX10" i="14"/>
  <c r="AY10" i="14" s="1"/>
  <c r="AX9" i="14"/>
  <c r="AY9" i="14" s="1"/>
  <c r="AX8" i="14"/>
  <c r="AY8" i="14" s="1"/>
  <c r="AX7" i="14"/>
  <c r="AY7" i="14" s="1"/>
  <c r="AX6" i="14"/>
  <c r="AY6" i="14" s="1"/>
  <c r="AX5" i="14"/>
  <c r="AY5" i="14" s="1"/>
  <c r="H5" i="14"/>
  <c r="F5" i="14"/>
  <c r="E5" i="14"/>
  <c r="F4" i="14"/>
  <c r="F3" i="14" s="1"/>
  <c r="E4" i="14"/>
  <c r="AV3" i="14"/>
  <c r="AT3" i="14"/>
  <c r="AT69" i="14" s="1"/>
  <c r="AR3" i="14"/>
  <c r="AR69" i="14" s="1"/>
  <c r="AP3" i="14"/>
  <c r="AP69" i="14" s="1"/>
  <c r="AN3" i="14"/>
  <c r="AL3" i="14"/>
  <c r="AL69" i="14" s="1"/>
  <c r="AJ3" i="14"/>
  <c r="AJ69" i="14" s="1"/>
  <c r="AH3" i="14"/>
  <c r="AH69" i="14" s="1"/>
  <c r="AF3" i="14"/>
  <c r="AD3" i="14"/>
  <c r="AB3" i="14"/>
  <c r="Z3" i="14"/>
  <c r="Z69" i="14" s="1"/>
  <c r="X3" i="14"/>
  <c r="V3" i="14"/>
  <c r="T3" i="14"/>
  <c r="R3" i="14"/>
  <c r="P3" i="14"/>
  <c r="N3" i="14"/>
  <c r="L3" i="14"/>
  <c r="J3" i="14"/>
  <c r="H3" i="14"/>
  <c r="D3" i="14"/>
  <c r="D69" i="14" s="1"/>
  <c r="AV75" i="13"/>
  <c r="AT75" i="13"/>
  <c r="AR75" i="13"/>
  <c r="AP75" i="13"/>
  <c r="AN75" i="13"/>
  <c r="AL75" i="13"/>
  <c r="AJ75" i="13"/>
  <c r="AH75" i="13"/>
  <c r="AB75" i="13"/>
  <c r="Z75" i="13"/>
  <c r="T75" i="13"/>
  <c r="R75" i="13"/>
  <c r="L75" i="13"/>
  <c r="J75" i="13"/>
  <c r="D75" i="13"/>
  <c r="AX73" i="13"/>
  <c r="AX72" i="13"/>
  <c r="AY72" i="13" s="1"/>
  <c r="AJ71" i="13"/>
  <c r="AH71" i="13"/>
  <c r="AF71" i="13"/>
  <c r="AF75" i="13" s="1"/>
  <c r="AD71" i="13"/>
  <c r="AD75" i="13" s="1"/>
  <c r="AB71" i="13"/>
  <c r="Z71" i="13"/>
  <c r="X71" i="13"/>
  <c r="X75" i="13" s="1"/>
  <c r="V71" i="13"/>
  <c r="V75" i="13" s="1"/>
  <c r="T71" i="13"/>
  <c r="R71" i="13"/>
  <c r="P71" i="13"/>
  <c r="P75" i="13" s="1"/>
  <c r="N71" i="13"/>
  <c r="N75" i="13" s="1"/>
  <c r="L71" i="13"/>
  <c r="J71" i="13"/>
  <c r="H71" i="13"/>
  <c r="H75" i="13" s="1"/>
  <c r="F71" i="13"/>
  <c r="F75" i="13" s="1"/>
  <c r="D71" i="13"/>
  <c r="AX68" i="13"/>
  <c r="AY68" i="13" s="1"/>
  <c r="AV67" i="13"/>
  <c r="AT67" i="13"/>
  <c r="AR67" i="13"/>
  <c r="AP67" i="13"/>
  <c r="AN67" i="13"/>
  <c r="AL67" i="13"/>
  <c r="AJ67" i="13"/>
  <c r="AH67" i="13"/>
  <c r="AF67" i="13"/>
  <c r="AD67" i="13"/>
  <c r="AB67" i="13"/>
  <c r="Z67" i="13"/>
  <c r="X67" i="13"/>
  <c r="V67" i="13"/>
  <c r="T67" i="13"/>
  <c r="R67" i="13"/>
  <c r="P67" i="13"/>
  <c r="N67" i="13"/>
  <c r="J67" i="13"/>
  <c r="H67" i="13"/>
  <c r="F67" i="13"/>
  <c r="D67" i="13"/>
  <c r="AX66" i="13"/>
  <c r="AY66" i="13" s="1"/>
  <c r="AX65" i="13"/>
  <c r="AY65" i="13" s="1"/>
  <c r="AV64" i="13"/>
  <c r="AT64" i="13"/>
  <c r="AR64" i="13"/>
  <c r="AP64" i="13"/>
  <c r="AN64" i="13"/>
  <c r="AL64" i="13"/>
  <c r="Z64" i="13"/>
  <c r="AY63" i="13"/>
  <c r="AX63" i="13"/>
  <c r="AY62" i="13"/>
  <c r="AY61" i="13"/>
  <c r="AX61" i="13"/>
  <c r="AY60" i="13"/>
  <c r="L59" i="13"/>
  <c r="AX59" i="13" s="1"/>
  <c r="AY59" i="13" s="1"/>
  <c r="AY58" i="13"/>
  <c r="AY57" i="13"/>
  <c r="AY56" i="13"/>
  <c r="L56" i="13"/>
  <c r="K56" i="13"/>
  <c r="AV55" i="13"/>
  <c r="AT55" i="13"/>
  <c r="AR55" i="13"/>
  <c r="AP55" i="13"/>
  <c r="AN55" i="13"/>
  <c r="AL55" i="13"/>
  <c r="AY54" i="13"/>
  <c r="AY53" i="13"/>
  <c r="AX53" i="13"/>
  <c r="AY52" i="13"/>
  <c r="AX52" i="13"/>
  <c r="AY51" i="13"/>
  <c r="AX51" i="13"/>
  <c r="AY50" i="13"/>
  <c r="AX50" i="13"/>
  <c r="AY49" i="13"/>
  <c r="AX49" i="13"/>
  <c r="AY48" i="13"/>
  <c r="AY47" i="13"/>
  <c r="AY46" i="13"/>
  <c r="AX46" i="13"/>
  <c r="AY45" i="13"/>
  <c r="AX45" i="13"/>
  <c r="AY44" i="13"/>
  <c r="AX44" i="13"/>
  <c r="AY43" i="13"/>
  <c r="AX43" i="13"/>
  <c r="AY42" i="13"/>
  <c r="AX42" i="13"/>
  <c r="AY41" i="13"/>
  <c r="AX41" i="13"/>
  <c r="AY40" i="13"/>
  <c r="AX40" i="13"/>
  <c r="AY39" i="13"/>
  <c r="AX39" i="13"/>
  <c r="AY38" i="13"/>
  <c r="AX38" i="13"/>
  <c r="N37" i="13"/>
  <c r="AY37" i="13" s="1"/>
  <c r="AX36" i="13"/>
  <c r="AY36" i="13" s="1"/>
  <c r="AV35" i="13"/>
  <c r="AT35" i="13"/>
  <c r="AR35" i="13"/>
  <c r="AP35" i="13"/>
  <c r="AN35" i="13"/>
  <c r="AL35" i="13"/>
  <c r="AF34" i="13"/>
  <c r="AB34" i="13"/>
  <c r="AY34" i="13" s="1"/>
  <c r="AX32" i="13"/>
  <c r="AY32" i="13" s="1"/>
  <c r="AX31" i="13"/>
  <c r="AY31" i="13" s="1"/>
  <c r="AX30" i="13"/>
  <c r="AY30" i="13" s="1"/>
  <c r="AX29" i="13"/>
  <c r="AY29" i="13" s="1"/>
  <c r="AX28" i="13"/>
  <c r="AY28" i="13" s="1"/>
  <c r="AX27" i="13"/>
  <c r="AY27" i="13" s="1"/>
  <c r="AX26" i="13"/>
  <c r="AY26" i="13" s="1"/>
  <c r="AX25" i="13"/>
  <c r="AY25" i="13" s="1"/>
  <c r="AX24" i="13"/>
  <c r="AY24" i="13" s="1"/>
  <c r="AY23" i="13"/>
  <c r="T23" i="13"/>
  <c r="AY22" i="13"/>
  <c r="AF22" i="13"/>
  <c r="AY21" i="13"/>
  <c r="AB21" i="13"/>
  <c r="AY20" i="13"/>
  <c r="AY19" i="13"/>
  <c r="AY18" i="13"/>
  <c r="AY17" i="13"/>
  <c r="AY16" i="13"/>
  <c r="X15" i="13"/>
  <c r="AY15" i="13" s="1"/>
  <c r="AY14" i="13"/>
  <c r="AB14" i="13"/>
  <c r="T14" i="13"/>
  <c r="P14" i="13"/>
  <c r="AY13" i="13"/>
  <c r="Z13" i="13"/>
  <c r="V13" i="13"/>
  <c r="N13" i="13"/>
  <c r="J13" i="13"/>
  <c r="AY12" i="13"/>
  <c r="AY11" i="13"/>
  <c r="AY10" i="13"/>
  <c r="R10" i="13"/>
  <c r="AY9" i="13"/>
  <c r="AY8" i="13"/>
  <c r="AB8" i="13"/>
  <c r="X8" i="13"/>
  <c r="AY7" i="13"/>
  <c r="AF7" i="13"/>
  <c r="F7" i="13"/>
  <c r="D7" i="13"/>
  <c r="AF6" i="13"/>
  <c r="AE6" i="13"/>
  <c r="T6" i="13"/>
  <c r="S6" i="13"/>
  <c r="K6" i="13"/>
  <c r="H6" i="13"/>
  <c r="G6" i="13"/>
  <c r="D6" i="13"/>
  <c r="C6" i="13"/>
  <c r="AJ5" i="13"/>
  <c r="AI5" i="13"/>
  <c r="AF5" i="13"/>
  <c r="AE5" i="13"/>
  <c r="AB5" i="13"/>
  <c r="AA5" i="13"/>
  <c r="X5" i="13"/>
  <c r="W5" i="13"/>
  <c r="T5" i="13"/>
  <c r="S5" i="13"/>
  <c r="P5" i="13"/>
  <c r="O5" i="13"/>
  <c r="N5" i="13"/>
  <c r="L5" i="13"/>
  <c r="AY5" i="13" s="1"/>
  <c r="K5" i="13"/>
  <c r="J5" i="13"/>
  <c r="H5" i="13"/>
  <c r="G5" i="13"/>
  <c r="D5" i="13"/>
  <c r="C5" i="13"/>
  <c r="AJ4" i="13"/>
  <c r="AI4" i="13"/>
  <c r="AF4" i="13"/>
  <c r="AE4" i="13"/>
  <c r="AB4" i="13"/>
  <c r="AA4" i="13"/>
  <c r="X4" i="13"/>
  <c r="W4" i="13"/>
  <c r="T4" i="13"/>
  <c r="T69" i="13" s="1"/>
  <c r="S4" i="13"/>
  <c r="P4" i="13"/>
  <c r="O4" i="13"/>
  <c r="L4" i="13"/>
  <c r="L69" i="13" s="1"/>
  <c r="K4" i="13"/>
  <c r="H4" i="13"/>
  <c r="G4" i="13"/>
  <c r="D4" i="13"/>
  <c r="D69" i="13" s="1"/>
  <c r="C4" i="13"/>
  <c r="AV3" i="13"/>
  <c r="AV69" i="13" s="1"/>
  <c r="AT3" i="13"/>
  <c r="AT69" i="13" s="1"/>
  <c r="AR3" i="13"/>
  <c r="AR69" i="13" s="1"/>
  <c r="AP3" i="13"/>
  <c r="AP69" i="13" s="1"/>
  <c r="AN3" i="13"/>
  <c r="AN69" i="13" s="1"/>
  <c r="AL3" i="13"/>
  <c r="AL69" i="13" s="1"/>
  <c r="AH69" i="13"/>
  <c r="Z69" i="13"/>
  <c r="H69" i="13"/>
  <c r="F69" i="13"/>
  <c r="AV74" i="12"/>
  <c r="AT74" i="12"/>
  <c r="AR74" i="12"/>
  <c r="AP74" i="12"/>
  <c r="AN74" i="12"/>
  <c r="AL74" i="12"/>
  <c r="AB74" i="12"/>
  <c r="X74" i="12"/>
  <c r="P74" i="12"/>
  <c r="J74" i="12"/>
  <c r="H74" i="12"/>
  <c r="F74" i="12"/>
  <c r="AX72" i="12"/>
  <c r="AY71" i="12"/>
  <c r="AX71" i="12"/>
  <c r="AW71" i="12"/>
  <c r="AL70" i="12"/>
  <c r="AJ70" i="12"/>
  <c r="AJ74" i="12" s="1"/>
  <c r="AH70" i="12"/>
  <c r="AH74" i="12" s="1"/>
  <c r="AF70" i="12"/>
  <c r="AF74" i="12" s="1"/>
  <c r="Z70" i="12"/>
  <c r="Z74" i="12" s="1"/>
  <c r="X70" i="12"/>
  <c r="V70" i="12"/>
  <c r="V74" i="12" s="1"/>
  <c r="T70" i="12"/>
  <c r="T74" i="12" s="1"/>
  <c r="R70" i="12"/>
  <c r="R74" i="12" s="1"/>
  <c r="P70" i="12"/>
  <c r="N70" i="12"/>
  <c r="N74" i="12" s="1"/>
  <c r="L70" i="12"/>
  <c r="D70" i="12"/>
  <c r="D74" i="12" s="1"/>
  <c r="AH68" i="12"/>
  <c r="P68" i="12"/>
  <c r="AX67" i="12"/>
  <c r="AY67" i="12" s="1"/>
  <c r="AV66" i="12"/>
  <c r="AT66" i="12"/>
  <c r="AR66" i="12"/>
  <c r="AP66" i="12"/>
  <c r="AN66" i="12"/>
  <c r="AL66" i="12"/>
  <c r="AJ66" i="12"/>
  <c r="AH66" i="12"/>
  <c r="AF66" i="12"/>
  <c r="AD66" i="12"/>
  <c r="AB66" i="12"/>
  <c r="Z66" i="12"/>
  <c r="X66" i="12"/>
  <c r="V66" i="12"/>
  <c r="T66" i="12"/>
  <c r="R66" i="12"/>
  <c r="P66" i="12"/>
  <c r="N66" i="12"/>
  <c r="J66" i="12"/>
  <c r="H66" i="12"/>
  <c r="F66" i="12"/>
  <c r="D66" i="12"/>
  <c r="AY65" i="12"/>
  <c r="AX65" i="12"/>
  <c r="AX64" i="12"/>
  <c r="AY64" i="12" s="1"/>
  <c r="AV63" i="12"/>
  <c r="AX63" i="12" s="1"/>
  <c r="AY63" i="12" s="1"/>
  <c r="AT63" i="12"/>
  <c r="AT68" i="12" s="1"/>
  <c r="AR63" i="12"/>
  <c r="AP63" i="12"/>
  <c r="AN63" i="12"/>
  <c r="AL63" i="12"/>
  <c r="AJ63" i="12"/>
  <c r="AH63" i="12"/>
  <c r="AF63" i="12"/>
  <c r="AD63" i="12"/>
  <c r="AB63" i="12"/>
  <c r="Z63" i="12"/>
  <c r="X63" i="12"/>
  <c r="V63" i="12"/>
  <c r="T63" i="12"/>
  <c r="R63" i="12"/>
  <c r="P63" i="12"/>
  <c r="N63" i="12"/>
  <c r="L63" i="12"/>
  <c r="J63" i="12"/>
  <c r="H63" i="12"/>
  <c r="F63" i="12"/>
  <c r="D63" i="12"/>
  <c r="AX62" i="12"/>
  <c r="AY62" i="12" s="1"/>
  <c r="AY61" i="12"/>
  <c r="AX61" i="12"/>
  <c r="D61" i="12"/>
  <c r="AX60" i="12"/>
  <c r="AY60" i="12" s="1"/>
  <c r="D60" i="12"/>
  <c r="AX59" i="12"/>
  <c r="AY59" i="12" s="1"/>
  <c r="AY58" i="12"/>
  <c r="AX58" i="12"/>
  <c r="D58" i="12"/>
  <c r="AX57" i="12"/>
  <c r="AY57" i="12" s="1"/>
  <c r="AY56" i="12"/>
  <c r="AX56" i="12"/>
  <c r="AX55" i="12"/>
  <c r="AY55" i="12" s="1"/>
  <c r="D55" i="12"/>
  <c r="D54" i="12" s="1"/>
  <c r="AV54" i="12"/>
  <c r="AT54" i="12"/>
  <c r="AR54" i="12"/>
  <c r="AP54" i="12"/>
  <c r="AN54" i="12"/>
  <c r="AL54" i="12"/>
  <c r="AJ54" i="12"/>
  <c r="AH54" i="12"/>
  <c r="AF54" i="12"/>
  <c r="AD54" i="12"/>
  <c r="AB54" i="12"/>
  <c r="Z54" i="12"/>
  <c r="X54" i="12"/>
  <c r="V54" i="12"/>
  <c r="T54" i="12"/>
  <c r="R54" i="12"/>
  <c r="P54" i="12"/>
  <c r="N54" i="12"/>
  <c r="L54" i="12"/>
  <c r="J54" i="12"/>
  <c r="H54" i="12"/>
  <c r="F54" i="12"/>
  <c r="AX53" i="12"/>
  <c r="AY53" i="12" s="1"/>
  <c r="AY52" i="12"/>
  <c r="AX52" i="12"/>
  <c r="AX51" i="12"/>
  <c r="AY51" i="12" s="1"/>
  <c r="AY50" i="12"/>
  <c r="AX50" i="12"/>
  <c r="AX49" i="12"/>
  <c r="AY49" i="12" s="1"/>
  <c r="AY48" i="12"/>
  <c r="AX48" i="12"/>
  <c r="AX47" i="12"/>
  <c r="AY47" i="12" s="1"/>
  <c r="AY46" i="12"/>
  <c r="AX46" i="12"/>
  <c r="AX45" i="12"/>
  <c r="AY45" i="12" s="1"/>
  <c r="D45" i="12"/>
  <c r="AX44" i="12"/>
  <c r="AY44" i="12" s="1"/>
  <c r="AY43" i="12"/>
  <c r="AX43" i="12"/>
  <c r="AX42" i="12"/>
  <c r="AY42" i="12" s="1"/>
  <c r="AY41" i="12"/>
  <c r="AX41" i="12"/>
  <c r="AX40" i="12"/>
  <c r="AY40" i="12" s="1"/>
  <c r="AY39" i="12"/>
  <c r="AX39" i="12"/>
  <c r="AX38" i="12"/>
  <c r="AY38" i="12" s="1"/>
  <c r="AY37" i="12"/>
  <c r="AX37" i="12"/>
  <c r="V36" i="12"/>
  <c r="AY35" i="12"/>
  <c r="AX35" i="12"/>
  <c r="AV34" i="12"/>
  <c r="AT34" i="12"/>
  <c r="AR34" i="12"/>
  <c r="AP34" i="12"/>
  <c r="AN34" i="12"/>
  <c r="AL34" i="12"/>
  <c r="AJ34" i="12"/>
  <c r="AH34" i="12"/>
  <c r="AF34" i="12"/>
  <c r="AD34" i="12"/>
  <c r="AB34" i="12"/>
  <c r="Z34" i="12"/>
  <c r="X34" i="12"/>
  <c r="T34" i="12"/>
  <c r="R34" i="12"/>
  <c r="P34" i="12"/>
  <c r="N34" i="12"/>
  <c r="L34" i="12"/>
  <c r="J34" i="12"/>
  <c r="H34" i="12"/>
  <c r="F34" i="12"/>
  <c r="D34" i="12"/>
  <c r="AY33" i="12"/>
  <c r="AX33" i="12"/>
  <c r="AX32" i="12"/>
  <c r="AY32" i="12" s="1"/>
  <c r="AY31" i="12"/>
  <c r="AX31" i="12"/>
  <c r="AX30" i="12"/>
  <c r="AY30" i="12" s="1"/>
  <c r="AY29" i="12"/>
  <c r="AX29" i="12"/>
  <c r="AX28" i="12"/>
  <c r="AY28" i="12" s="1"/>
  <c r="AY27" i="12"/>
  <c r="AX27" i="12"/>
  <c r="AX26" i="12"/>
  <c r="AY26" i="12" s="1"/>
  <c r="AY25" i="12"/>
  <c r="AX25" i="12"/>
  <c r="AX24" i="12"/>
  <c r="AY24" i="12" s="1"/>
  <c r="AY23" i="12"/>
  <c r="AX23" i="12"/>
  <c r="AX22" i="12"/>
  <c r="AY22" i="12" s="1"/>
  <c r="AY21" i="12"/>
  <c r="AX21" i="12"/>
  <c r="AX20" i="12"/>
  <c r="AY20" i="12" s="1"/>
  <c r="AX19" i="12"/>
  <c r="AY19" i="12" s="1"/>
  <c r="AX18" i="12"/>
  <c r="AY18" i="12" s="1"/>
  <c r="AX17" i="12"/>
  <c r="AY17" i="12" s="1"/>
  <c r="AX16" i="12"/>
  <c r="AY16" i="12" s="1"/>
  <c r="AX15" i="12"/>
  <c r="AY15" i="12" s="1"/>
  <c r="AX14" i="12"/>
  <c r="AY14" i="12" s="1"/>
  <c r="V13" i="12"/>
  <c r="AX13" i="12" s="1"/>
  <c r="AY13" i="12" s="1"/>
  <c r="T13" i="12"/>
  <c r="R13" i="12"/>
  <c r="AX12" i="12"/>
  <c r="AY12" i="12" s="1"/>
  <c r="AY11" i="12"/>
  <c r="AX11" i="12"/>
  <c r="AX10" i="12"/>
  <c r="AY10" i="12" s="1"/>
  <c r="AY9" i="12"/>
  <c r="AX9" i="12"/>
  <c r="D8" i="12"/>
  <c r="X7" i="12"/>
  <c r="AX7" i="12" s="1"/>
  <c r="AY7" i="12" s="1"/>
  <c r="P7" i="12"/>
  <c r="L7" i="12"/>
  <c r="AJ6" i="12"/>
  <c r="AI6" i="12"/>
  <c r="AE6" i="12"/>
  <c r="AB6" i="12"/>
  <c r="AA6" i="12"/>
  <c r="Z6" i="12"/>
  <c r="X6" i="12"/>
  <c r="W6" i="12"/>
  <c r="T6" i="12"/>
  <c r="T3" i="12" s="1"/>
  <c r="T68" i="12" s="1"/>
  <c r="S6" i="12"/>
  <c r="P6" i="12"/>
  <c r="O6" i="12"/>
  <c r="L6" i="12"/>
  <c r="L3" i="12" s="1"/>
  <c r="L68" i="12" s="1"/>
  <c r="K6" i="12"/>
  <c r="H6" i="12"/>
  <c r="G6" i="12"/>
  <c r="AJ5" i="12"/>
  <c r="AX5" i="12" s="1"/>
  <c r="AY5" i="12" s="1"/>
  <c r="AI5" i="12"/>
  <c r="AE5" i="12"/>
  <c r="AB5" i="12"/>
  <c r="AA5" i="12"/>
  <c r="X5" i="12"/>
  <c r="W5" i="12"/>
  <c r="T5" i="12"/>
  <c r="S5" i="12"/>
  <c r="P5" i="12"/>
  <c r="O5" i="12"/>
  <c r="L5" i="12"/>
  <c r="K5" i="12"/>
  <c r="H5" i="12"/>
  <c r="G5" i="12"/>
  <c r="D5" i="12"/>
  <c r="C5" i="12"/>
  <c r="AJ4" i="12"/>
  <c r="AI4" i="12"/>
  <c r="AE4" i="12"/>
  <c r="AB4" i="12"/>
  <c r="AB3" i="12" s="1"/>
  <c r="AB68" i="12" s="1"/>
  <c r="AA4" i="12"/>
  <c r="Z4" i="12"/>
  <c r="X4" i="12"/>
  <c r="X3" i="12" s="1"/>
  <c r="X68" i="12" s="1"/>
  <c r="W4" i="12"/>
  <c r="T4" i="12"/>
  <c r="S4" i="12"/>
  <c r="P4" i="12"/>
  <c r="P3" i="12" s="1"/>
  <c r="O4" i="12"/>
  <c r="L4" i="12"/>
  <c r="K4" i="12"/>
  <c r="H4" i="12"/>
  <c r="H3" i="12" s="1"/>
  <c r="H68" i="12" s="1"/>
  <c r="G4" i="12"/>
  <c r="D4" i="12"/>
  <c r="C4" i="12"/>
  <c r="AV3" i="12"/>
  <c r="AT3" i="12"/>
  <c r="AR3" i="12"/>
  <c r="AR68" i="12" s="1"/>
  <c r="AP3" i="12"/>
  <c r="AP68" i="12" s="1"/>
  <c r="AN3" i="12"/>
  <c r="AL3" i="12"/>
  <c r="AL68" i="12" s="1"/>
  <c r="AH3" i="12"/>
  <c r="AF3" i="12"/>
  <c r="AF68" i="12" s="1"/>
  <c r="AD3" i="12"/>
  <c r="Z3" i="12"/>
  <c r="Z68" i="12" s="1"/>
  <c r="V3" i="12"/>
  <c r="R3" i="12"/>
  <c r="N3" i="12"/>
  <c r="J3" i="12"/>
  <c r="J68" i="12" s="1"/>
  <c r="F3" i="12"/>
  <c r="F68" i="12" s="1"/>
  <c r="AV73" i="11"/>
  <c r="AT73" i="11"/>
  <c r="AR73" i="11"/>
  <c r="AP73" i="11"/>
  <c r="AN73" i="11"/>
  <c r="AL73" i="11"/>
  <c r="AJ73" i="11"/>
  <c r="AH73" i="11"/>
  <c r="AF73" i="11"/>
  <c r="AD73" i="11"/>
  <c r="AB73" i="11"/>
  <c r="Z73" i="11"/>
  <c r="X73" i="11"/>
  <c r="V73" i="11"/>
  <c r="T73" i="11"/>
  <c r="R73" i="11"/>
  <c r="P73" i="11"/>
  <c r="N73" i="11"/>
  <c r="L73" i="11"/>
  <c r="H73" i="11"/>
  <c r="D73" i="11"/>
  <c r="AX71" i="11"/>
  <c r="AY71" i="11" s="1"/>
  <c r="AW71" i="11"/>
  <c r="L70" i="11"/>
  <c r="J70" i="11"/>
  <c r="J73" i="11" s="1"/>
  <c r="F70" i="11"/>
  <c r="AD68" i="11"/>
  <c r="AX67" i="11"/>
  <c r="AY67" i="11" s="1"/>
  <c r="AV66" i="11"/>
  <c r="AT66" i="11"/>
  <c r="AR66" i="11"/>
  <c r="AP66" i="11"/>
  <c r="AN66" i="11"/>
  <c r="AL66" i="11"/>
  <c r="AJ66" i="11"/>
  <c r="AH66" i="11"/>
  <c r="AF66" i="11"/>
  <c r="AD66" i="11"/>
  <c r="AB66" i="11"/>
  <c r="Z66" i="11"/>
  <c r="X66" i="11"/>
  <c r="V66" i="11"/>
  <c r="T66" i="11"/>
  <c r="R66" i="11"/>
  <c r="P66" i="11"/>
  <c r="N66" i="11"/>
  <c r="J66" i="11"/>
  <c r="H66" i="11"/>
  <c r="F66" i="11"/>
  <c r="D66" i="11"/>
  <c r="AY65" i="11"/>
  <c r="AX65" i="11"/>
  <c r="AX64" i="11"/>
  <c r="AY64" i="11" s="1"/>
  <c r="AV63" i="11"/>
  <c r="AX63" i="11" s="1"/>
  <c r="AY63" i="11" s="1"/>
  <c r="AT63" i="11"/>
  <c r="AR63" i="11"/>
  <c r="AP63" i="11"/>
  <c r="AN63" i="11"/>
  <c r="AL63" i="11"/>
  <c r="AJ63" i="11"/>
  <c r="AH63" i="11"/>
  <c r="AF63" i="11"/>
  <c r="AD63" i="11"/>
  <c r="AB63" i="11"/>
  <c r="Z63" i="11"/>
  <c r="X63" i="11"/>
  <c r="V63" i="11"/>
  <c r="T63" i="11"/>
  <c r="R63" i="11"/>
  <c r="P63" i="11"/>
  <c r="N63" i="11"/>
  <c r="L63" i="11"/>
  <c r="J63" i="11"/>
  <c r="H63" i="11"/>
  <c r="F63" i="11"/>
  <c r="D63" i="11"/>
  <c r="AX62" i="11"/>
  <c r="AY62" i="11" s="1"/>
  <c r="AX61" i="11"/>
  <c r="AY61" i="11" s="1"/>
  <c r="AX60" i="11"/>
  <c r="AY60" i="11" s="1"/>
  <c r="AX59" i="11"/>
  <c r="AY59" i="11" s="1"/>
  <c r="AX58" i="11"/>
  <c r="AY58" i="11" s="1"/>
  <c r="AX57" i="11"/>
  <c r="AY57" i="11" s="1"/>
  <c r="AX56" i="11"/>
  <c r="AY56" i="11" s="1"/>
  <c r="AX55" i="11"/>
  <c r="AY55" i="11" s="1"/>
  <c r="AV54" i="11"/>
  <c r="AT54" i="11"/>
  <c r="AR54" i="11"/>
  <c r="AP54" i="11"/>
  <c r="AN54" i="11"/>
  <c r="AL54" i="11"/>
  <c r="AJ54" i="11"/>
  <c r="AH54" i="11"/>
  <c r="AF54" i="11"/>
  <c r="AD54" i="11"/>
  <c r="AB54" i="11"/>
  <c r="Z54" i="11"/>
  <c r="X54" i="11"/>
  <c r="V54" i="11"/>
  <c r="T54" i="11"/>
  <c r="R54" i="11"/>
  <c r="P54" i="11"/>
  <c r="N54" i="11"/>
  <c r="L54" i="11"/>
  <c r="J54" i="11"/>
  <c r="H54" i="11"/>
  <c r="F54" i="11"/>
  <c r="D54" i="11"/>
  <c r="L53" i="11"/>
  <c r="AX53" i="11" s="1"/>
  <c r="AY53" i="11" s="1"/>
  <c r="AX52" i="11"/>
  <c r="AY52" i="11" s="1"/>
  <c r="AX51" i="11"/>
  <c r="AY51" i="11" s="1"/>
  <c r="AX50" i="11"/>
  <c r="AY50" i="11" s="1"/>
  <c r="AX49" i="11"/>
  <c r="AY49" i="11" s="1"/>
  <c r="AX48" i="11"/>
  <c r="AY48" i="11" s="1"/>
  <c r="AX47" i="11"/>
  <c r="AY47" i="11" s="1"/>
  <c r="AX46" i="11"/>
  <c r="AY46" i="11" s="1"/>
  <c r="AX45" i="11"/>
  <c r="AY45" i="11" s="1"/>
  <c r="AX44" i="11"/>
  <c r="AY44" i="11" s="1"/>
  <c r="AX43" i="11"/>
  <c r="AY43" i="11" s="1"/>
  <c r="AX42" i="11"/>
  <c r="AY42" i="11" s="1"/>
  <c r="AX41" i="11"/>
  <c r="AY41" i="11" s="1"/>
  <c r="AX40" i="11"/>
  <c r="AY40" i="11" s="1"/>
  <c r="AX39" i="11"/>
  <c r="AY39" i="11" s="1"/>
  <c r="AX38" i="11"/>
  <c r="AY38" i="11" s="1"/>
  <c r="AX37" i="11"/>
  <c r="AY37" i="11" s="1"/>
  <c r="AX36" i="11"/>
  <c r="AY36" i="11" s="1"/>
  <c r="L36" i="11"/>
  <c r="J36" i="11"/>
  <c r="J34" i="11" s="1"/>
  <c r="F36" i="11"/>
  <c r="AY35" i="11"/>
  <c r="AX35" i="11"/>
  <c r="AV34" i="11"/>
  <c r="AT34" i="11"/>
  <c r="AR34" i="11"/>
  <c r="AP34" i="11"/>
  <c r="AN34" i="11"/>
  <c r="AL34" i="11"/>
  <c r="AJ34" i="11"/>
  <c r="AH34" i="11"/>
  <c r="AF34" i="11"/>
  <c r="AD34" i="11"/>
  <c r="AB34" i="11"/>
  <c r="Z34" i="11"/>
  <c r="X34" i="11"/>
  <c r="V34" i="11"/>
  <c r="T34" i="11"/>
  <c r="R34" i="11"/>
  <c r="P34" i="11"/>
  <c r="N34" i="11"/>
  <c r="L34" i="11"/>
  <c r="H34" i="11"/>
  <c r="F34" i="11"/>
  <c r="D34" i="11"/>
  <c r="AX33" i="11"/>
  <c r="AY33" i="11" s="1"/>
  <c r="J33" i="11"/>
  <c r="F33" i="11"/>
  <c r="AX32" i="11"/>
  <c r="AY32" i="11" s="1"/>
  <c r="AX31" i="11"/>
  <c r="AY31" i="11" s="1"/>
  <c r="AX30" i="11"/>
  <c r="AY30" i="11" s="1"/>
  <c r="AX29" i="11"/>
  <c r="AY29" i="11" s="1"/>
  <c r="AX28" i="11"/>
  <c r="AY28" i="11" s="1"/>
  <c r="AX27" i="11"/>
  <c r="AY27" i="11" s="1"/>
  <c r="AX26" i="11"/>
  <c r="AY26" i="11" s="1"/>
  <c r="AX25" i="11"/>
  <c r="AY25" i="11" s="1"/>
  <c r="AX24" i="11"/>
  <c r="AY24" i="11" s="1"/>
  <c r="AX23" i="11"/>
  <c r="AY23" i="11" s="1"/>
  <c r="AX22" i="11"/>
  <c r="AY22" i="11" s="1"/>
  <c r="AX21" i="11"/>
  <c r="AY21" i="11" s="1"/>
  <c r="AX20" i="11"/>
  <c r="AY20" i="11" s="1"/>
  <c r="AX19" i="11"/>
  <c r="AY19" i="11" s="1"/>
  <c r="AX18" i="11"/>
  <c r="AY18" i="11" s="1"/>
  <c r="AX17" i="11"/>
  <c r="AY17" i="11" s="1"/>
  <c r="AX16" i="11"/>
  <c r="AY16" i="11" s="1"/>
  <c r="AX15" i="11"/>
  <c r="AY15" i="11" s="1"/>
  <c r="AX14" i="11"/>
  <c r="AY14" i="11" s="1"/>
  <c r="AX13" i="11"/>
  <c r="AY13" i="11" s="1"/>
  <c r="AX12" i="11"/>
  <c r="AY12" i="11" s="1"/>
  <c r="AX11" i="11"/>
  <c r="AY11" i="11" s="1"/>
  <c r="AX10" i="11"/>
  <c r="AY10" i="11" s="1"/>
  <c r="AX9" i="11"/>
  <c r="AY9" i="11" s="1"/>
  <c r="AX8" i="11"/>
  <c r="AY8" i="11" s="1"/>
  <c r="AX7" i="11"/>
  <c r="AY7" i="11" s="1"/>
  <c r="F7" i="11"/>
  <c r="AY6" i="11"/>
  <c r="AX6" i="11"/>
  <c r="AY5" i="11"/>
  <c r="AX5" i="11"/>
  <c r="AY4" i="11"/>
  <c r="AX4" i="11"/>
  <c r="AV3" i="11"/>
  <c r="AT3" i="11"/>
  <c r="AT68" i="11" s="1"/>
  <c r="AR3" i="11"/>
  <c r="AP3" i="11"/>
  <c r="AP68" i="11" s="1"/>
  <c r="AN3" i="11"/>
  <c r="AL3" i="11"/>
  <c r="AL68" i="11" s="1"/>
  <c r="AJ3" i="11"/>
  <c r="AH3" i="11"/>
  <c r="AH68" i="11" s="1"/>
  <c r="AF3" i="11"/>
  <c r="AD3" i="11"/>
  <c r="AB3" i="11"/>
  <c r="Z3" i="11"/>
  <c r="Z68" i="11" s="1"/>
  <c r="X3" i="11"/>
  <c r="V3" i="11"/>
  <c r="V68" i="11" s="1"/>
  <c r="T3" i="11"/>
  <c r="R3" i="11"/>
  <c r="R68" i="11" s="1"/>
  <c r="P3" i="11"/>
  <c r="N3" i="11"/>
  <c r="N68" i="11" s="1"/>
  <c r="L3" i="11"/>
  <c r="J3" i="11"/>
  <c r="J68" i="11" s="1"/>
  <c r="H3" i="11"/>
  <c r="H68" i="11" s="1"/>
  <c r="F3" i="11"/>
  <c r="F68" i="11" s="1"/>
  <c r="D3" i="11"/>
  <c r="AV72" i="10"/>
  <c r="AT72" i="10"/>
  <c r="AR72" i="10"/>
  <c r="AP72" i="10"/>
  <c r="AN72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F72" i="10"/>
  <c r="AX70" i="10"/>
  <c r="AY70" i="10" s="1"/>
  <c r="AW70" i="10"/>
  <c r="J69" i="10"/>
  <c r="H69" i="10"/>
  <c r="H72" i="10" s="1"/>
  <c r="F69" i="10"/>
  <c r="D69" i="10"/>
  <c r="D72" i="10" s="1"/>
  <c r="AB67" i="10"/>
  <c r="L67" i="10"/>
  <c r="AX66" i="10"/>
  <c r="AY66" i="10" s="1"/>
  <c r="AV65" i="10"/>
  <c r="AT65" i="10"/>
  <c r="AR65" i="10"/>
  <c r="AP65" i="10"/>
  <c r="AX65" i="10" s="1"/>
  <c r="AY65" i="10" s="1"/>
  <c r="AN65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J65" i="10"/>
  <c r="H65" i="10"/>
  <c r="F65" i="10"/>
  <c r="D65" i="10"/>
  <c r="AX64" i="10"/>
  <c r="AY64" i="10" s="1"/>
  <c r="AX63" i="10"/>
  <c r="AY63" i="10" s="1"/>
  <c r="AV62" i="10"/>
  <c r="AT62" i="10"/>
  <c r="AR62" i="10"/>
  <c r="AP62" i="10"/>
  <c r="AX62" i="10" s="1"/>
  <c r="AY62" i="10" s="1"/>
  <c r="AN62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Y61" i="10"/>
  <c r="AX61" i="10"/>
  <c r="AY60" i="10"/>
  <c r="AX60" i="10"/>
  <c r="AY59" i="10"/>
  <c r="AX59" i="10"/>
  <c r="AY58" i="10"/>
  <c r="AX58" i="10"/>
  <c r="AY57" i="10"/>
  <c r="D57" i="10"/>
  <c r="AX57" i="10" s="1"/>
  <c r="AX56" i="10"/>
  <c r="AY56" i="10" s="1"/>
  <c r="AX55" i="10"/>
  <c r="AY55" i="10" s="1"/>
  <c r="AX54" i="10"/>
  <c r="AY54" i="10" s="1"/>
  <c r="AV53" i="10"/>
  <c r="AT53" i="10"/>
  <c r="AR53" i="10"/>
  <c r="AP53" i="10"/>
  <c r="AN53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J52" i="10"/>
  <c r="F52" i="10"/>
  <c r="D52" i="10"/>
  <c r="AX51" i="10"/>
  <c r="AY51" i="10" s="1"/>
  <c r="F50" i="10"/>
  <c r="D50" i="10"/>
  <c r="AX49" i="10"/>
  <c r="AY49" i="10" s="1"/>
  <c r="AX48" i="10"/>
  <c r="AY48" i="10" s="1"/>
  <c r="AX47" i="10"/>
  <c r="AY47" i="10" s="1"/>
  <c r="AX46" i="10"/>
  <c r="AY46" i="10" s="1"/>
  <c r="AX45" i="10"/>
  <c r="AY45" i="10" s="1"/>
  <c r="AX44" i="10"/>
  <c r="AY44" i="10" s="1"/>
  <c r="AX43" i="10"/>
  <c r="AY43" i="10" s="1"/>
  <c r="AX42" i="10"/>
  <c r="AY42" i="10" s="1"/>
  <c r="AX41" i="10"/>
  <c r="AY41" i="10" s="1"/>
  <c r="AX40" i="10"/>
  <c r="AY40" i="10" s="1"/>
  <c r="AX39" i="10"/>
  <c r="AY39" i="10" s="1"/>
  <c r="AX38" i="10"/>
  <c r="AY38" i="10" s="1"/>
  <c r="AX37" i="10"/>
  <c r="AY37" i="10" s="1"/>
  <c r="AX36" i="10"/>
  <c r="AY36" i="10" s="1"/>
  <c r="AX35" i="10"/>
  <c r="AY35" i="10" s="1"/>
  <c r="AX34" i="10"/>
  <c r="AY34" i="10" s="1"/>
  <c r="AV33" i="10"/>
  <c r="AT33" i="10"/>
  <c r="AR33" i="10"/>
  <c r="AP33" i="10"/>
  <c r="AN33" i="10"/>
  <c r="AL33" i="10"/>
  <c r="AL67" i="10" s="1"/>
  <c r="AJ33" i="10"/>
  <c r="AH33" i="10"/>
  <c r="AH67" i="10" s="1"/>
  <c r="AF33" i="10"/>
  <c r="AD33" i="10"/>
  <c r="AB33" i="10"/>
  <c r="Z33" i="10"/>
  <c r="X33" i="10"/>
  <c r="V33" i="10"/>
  <c r="T33" i="10"/>
  <c r="R33" i="10"/>
  <c r="P33" i="10"/>
  <c r="N33" i="10"/>
  <c r="L33" i="10"/>
  <c r="H33" i="10"/>
  <c r="F33" i="10"/>
  <c r="AY32" i="10"/>
  <c r="AX32" i="10"/>
  <c r="AY31" i="10"/>
  <c r="AX31" i="10"/>
  <c r="AY30" i="10"/>
  <c r="AX30" i="10"/>
  <c r="AY29" i="10"/>
  <c r="AX29" i="10"/>
  <c r="AY28" i="10"/>
  <c r="AX28" i="10"/>
  <c r="AY27" i="10"/>
  <c r="AX27" i="10"/>
  <c r="AY26" i="10"/>
  <c r="AX26" i="10"/>
  <c r="AY25" i="10"/>
  <c r="AX25" i="10"/>
  <c r="AY24" i="10"/>
  <c r="AX24" i="10"/>
  <c r="AY23" i="10"/>
  <c r="AX23" i="10"/>
  <c r="AY22" i="10"/>
  <c r="AX22" i="10"/>
  <c r="AY21" i="10"/>
  <c r="AX21" i="10"/>
  <c r="AY20" i="10"/>
  <c r="AX20" i="10"/>
  <c r="AY19" i="10"/>
  <c r="AX19" i="10"/>
  <c r="AY18" i="10"/>
  <c r="AX18" i="10"/>
  <c r="AY17" i="10"/>
  <c r="AX17" i="10"/>
  <c r="AY16" i="10"/>
  <c r="AX16" i="10"/>
  <c r="AY15" i="10"/>
  <c r="AX15" i="10"/>
  <c r="AY14" i="10"/>
  <c r="AX14" i="10"/>
  <c r="AY13" i="10"/>
  <c r="AX13" i="10"/>
  <c r="AY12" i="10"/>
  <c r="AX12" i="10"/>
  <c r="AY11" i="10"/>
  <c r="AX11" i="10"/>
  <c r="AY10" i="10"/>
  <c r="AX10" i="10"/>
  <c r="AY9" i="10"/>
  <c r="AX9" i="10"/>
  <c r="AY8" i="10"/>
  <c r="AX8" i="10"/>
  <c r="AY7" i="10"/>
  <c r="AX7" i="10"/>
  <c r="AY6" i="10"/>
  <c r="AX6" i="10"/>
  <c r="AY5" i="10"/>
  <c r="AX5" i="10"/>
  <c r="AY4" i="10"/>
  <c r="AX4" i="10"/>
  <c r="AV3" i="10"/>
  <c r="AV67" i="10" s="1"/>
  <c r="AT3" i="10"/>
  <c r="AT67" i="10" s="1"/>
  <c r="AR3" i="10"/>
  <c r="AR67" i="10" s="1"/>
  <c r="AP3" i="10"/>
  <c r="AP67" i="10" s="1"/>
  <c r="AN3" i="10"/>
  <c r="AN67" i="10" s="1"/>
  <c r="AL3" i="10"/>
  <c r="AJ3" i="10"/>
  <c r="AJ67" i="10" s="1"/>
  <c r="AH3" i="10"/>
  <c r="AF3" i="10"/>
  <c r="AF67" i="10" s="1"/>
  <c r="AD3" i="10"/>
  <c r="AD67" i="10" s="1"/>
  <c r="AB3" i="10"/>
  <c r="Z3" i="10"/>
  <c r="Z67" i="10" s="1"/>
  <c r="X3" i="10"/>
  <c r="X67" i="10" s="1"/>
  <c r="V3" i="10"/>
  <c r="V67" i="10" s="1"/>
  <c r="T3" i="10"/>
  <c r="T67" i="10" s="1"/>
  <c r="R3" i="10"/>
  <c r="R67" i="10" s="1"/>
  <c r="P3" i="10"/>
  <c r="P67" i="10" s="1"/>
  <c r="N3" i="10"/>
  <c r="N67" i="10" s="1"/>
  <c r="L3" i="10"/>
  <c r="J3" i="10"/>
  <c r="H3" i="10"/>
  <c r="H67" i="10" s="1"/>
  <c r="F3" i="10"/>
  <c r="F67" i="10" s="1"/>
  <c r="D3" i="10"/>
  <c r="AV71" i="9"/>
  <c r="AT71" i="9"/>
  <c r="AR71" i="9"/>
  <c r="AP71" i="9"/>
  <c r="AN71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J71" i="9"/>
  <c r="F71" i="9"/>
  <c r="AY69" i="9"/>
  <c r="AX69" i="9"/>
  <c r="AW69" i="9"/>
  <c r="N68" i="9"/>
  <c r="L68" i="9"/>
  <c r="L71" i="9" s="1"/>
  <c r="J68" i="9"/>
  <c r="H68" i="9"/>
  <c r="H71" i="9" s="1"/>
  <c r="F68" i="9"/>
  <c r="D68" i="9"/>
  <c r="AT66" i="9"/>
  <c r="AL66" i="9"/>
  <c r="AD66" i="9"/>
  <c r="V66" i="9"/>
  <c r="F66" i="9"/>
  <c r="AY65" i="9"/>
  <c r="AX65" i="9"/>
  <c r="AV64" i="9"/>
  <c r="AT64" i="9"/>
  <c r="AR64" i="9"/>
  <c r="AP64" i="9"/>
  <c r="AN64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J64" i="9"/>
  <c r="H64" i="9"/>
  <c r="F64" i="9"/>
  <c r="D64" i="9"/>
  <c r="AY63" i="9"/>
  <c r="AX63" i="9"/>
  <c r="AY62" i="9"/>
  <c r="AX62" i="9"/>
  <c r="AY61" i="9"/>
  <c r="AV61" i="9"/>
  <c r="AX61" i="9" s="1"/>
  <c r="AT61" i="9"/>
  <c r="AR61" i="9"/>
  <c r="AP61" i="9"/>
  <c r="AN61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D61" i="9"/>
  <c r="AX60" i="9"/>
  <c r="AY60" i="9" s="1"/>
  <c r="AX59" i="9"/>
  <c r="AY59" i="9" s="1"/>
  <c r="N58" i="9"/>
  <c r="J58" i="9"/>
  <c r="AX58" i="9" s="1"/>
  <c r="AY58" i="9" s="1"/>
  <c r="AX57" i="9"/>
  <c r="AY57" i="9" s="1"/>
  <c r="AX56" i="9"/>
  <c r="AY56" i="9" s="1"/>
  <c r="AX55" i="9"/>
  <c r="AY55" i="9" s="1"/>
  <c r="AX54" i="9"/>
  <c r="AY54" i="9" s="1"/>
  <c r="AX53" i="9"/>
  <c r="AY53" i="9" s="1"/>
  <c r="AV52" i="9"/>
  <c r="AT52" i="9"/>
  <c r="AR52" i="9"/>
  <c r="AP52" i="9"/>
  <c r="AP66" i="9" s="1"/>
  <c r="AN52" i="9"/>
  <c r="AL52" i="9"/>
  <c r="AJ52" i="9"/>
  <c r="AH52" i="9"/>
  <c r="AH66" i="9" s="1"/>
  <c r="AF52" i="9"/>
  <c r="AD52" i="9"/>
  <c r="AB52" i="9"/>
  <c r="Z52" i="9"/>
  <c r="Z66" i="9" s="1"/>
  <c r="X52" i="9"/>
  <c r="V52" i="9"/>
  <c r="T52" i="9"/>
  <c r="R52" i="9"/>
  <c r="R66" i="9" s="1"/>
  <c r="P52" i="9"/>
  <c r="N52" i="9"/>
  <c r="L52" i="9"/>
  <c r="J52" i="9"/>
  <c r="H52" i="9"/>
  <c r="F52" i="9"/>
  <c r="D52" i="9"/>
  <c r="N51" i="9"/>
  <c r="L51" i="9"/>
  <c r="H51" i="9"/>
  <c r="H33" i="9" s="1"/>
  <c r="AX50" i="9"/>
  <c r="AY50" i="9" s="1"/>
  <c r="H50" i="9"/>
  <c r="AY49" i="9"/>
  <c r="AX49" i="9"/>
  <c r="AY48" i="9"/>
  <c r="AX48" i="9"/>
  <c r="AY47" i="9"/>
  <c r="AX47" i="9"/>
  <c r="AY46" i="9"/>
  <c r="AX46" i="9"/>
  <c r="AY45" i="9"/>
  <c r="AX45" i="9"/>
  <c r="AY44" i="9"/>
  <c r="AX44" i="9"/>
  <c r="AY43" i="9"/>
  <c r="AX43" i="9"/>
  <c r="AY42" i="9"/>
  <c r="AX42" i="9"/>
  <c r="AY41" i="9"/>
  <c r="AX41" i="9"/>
  <c r="AY40" i="9"/>
  <c r="AX40" i="9"/>
  <c r="AY39" i="9"/>
  <c r="AX39" i="9"/>
  <c r="AY38" i="9"/>
  <c r="AX38" i="9"/>
  <c r="AY37" i="9"/>
  <c r="AX37" i="9"/>
  <c r="N36" i="9"/>
  <c r="AX36" i="9" s="1"/>
  <c r="AY36" i="9" s="1"/>
  <c r="H36" i="9"/>
  <c r="N35" i="9"/>
  <c r="L35" i="9"/>
  <c r="AY34" i="9"/>
  <c r="AX34" i="9"/>
  <c r="AV33" i="9"/>
  <c r="AT33" i="9"/>
  <c r="AR33" i="9"/>
  <c r="AP33" i="9"/>
  <c r="AN33" i="9"/>
  <c r="AL33" i="9"/>
  <c r="AJ33" i="9"/>
  <c r="AH33" i="9"/>
  <c r="AF33" i="9"/>
  <c r="AD33" i="9"/>
  <c r="AB33" i="9"/>
  <c r="Z33" i="9"/>
  <c r="X33" i="9"/>
  <c r="V33" i="9"/>
  <c r="T33" i="9"/>
  <c r="R33" i="9"/>
  <c r="P33" i="9"/>
  <c r="L33" i="9"/>
  <c r="J33" i="9"/>
  <c r="F33" i="9"/>
  <c r="D33" i="9"/>
  <c r="AX32" i="9"/>
  <c r="AY32" i="9" s="1"/>
  <c r="AX31" i="9"/>
  <c r="AY31" i="9" s="1"/>
  <c r="AX30" i="9"/>
  <c r="AY30" i="9" s="1"/>
  <c r="AX29" i="9"/>
  <c r="AY29" i="9" s="1"/>
  <c r="AX28" i="9"/>
  <c r="AY28" i="9" s="1"/>
  <c r="AX27" i="9"/>
  <c r="AY27" i="9" s="1"/>
  <c r="AX26" i="9"/>
  <c r="AY26" i="9" s="1"/>
  <c r="N26" i="9"/>
  <c r="AY25" i="9"/>
  <c r="AX25" i="9"/>
  <c r="AY24" i="9"/>
  <c r="AX24" i="9"/>
  <c r="AY23" i="9"/>
  <c r="AX23" i="9"/>
  <c r="AY22" i="9"/>
  <c r="AX22" i="9"/>
  <c r="AY21" i="9"/>
  <c r="AX21" i="9"/>
  <c r="AY20" i="9"/>
  <c r="AX20" i="9"/>
  <c r="AY19" i="9"/>
  <c r="AX19" i="9"/>
  <c r="AY18" i="9"/>
  <c r="AX18" i="9"/>
  <c r="AY17" i="9"/>
  <c r="AX17" i="9"/>
  <c r="AY16" i="9"/>
  <c r="AX16" i="9"/>
  <c r="AY15" i="9"/>
  <c r="AX15" i="9"/>
  <c r="AY14" i="9"/>
  <c r="AX14" i="9"/>
  <c r="AY13" i="9"/>
  <c r="AX13" i="9"/>
  <c r="AY12" i="9"/>
  <c r="AX12" i="9"/>
  <c r="AY11" i="9"/>
  <c r="AX11" i="9"/>
  <c r="AY10" i="9"/>
  <c r="AX10" i="9"/>
  <c r="AY9" i="9"/>
  <c r="AX9" i="9"/>
  <c r="AY8" i="9"/>
  <c r="AX8" i="9"/>
  <c r="AY7" i="9"/>
  <c r="AX7" i="9"/>
  <c r="AY6" i="9"/>
  <c r="AX6" i="9"/>
  <c r="AY5" i="9"/>
  <c r="AX5" i="9"/>
  <c r="AY4" i="9"/>
  <c r="AX4" i="9"/>
  <c r="AV3" i="9"/>
  <c r="AT3" i="9"/>
  <c r="AR3" i="9"/>
  <c r="AR66" i="9" s="1"/>
  <c r="AP3" i="9"/>
  <c r="AN3" i="9"/>
  <c r="AN66" i="9" s="1"/>
  <c r="AL3" i="9"/>
  <c r="AJ3" i="9"/>
  <c r="AJ66" i="9" s="1"/>
  <c r="AH3" i="9"/>
  <c r="AF3" i="9"/>
  <c r="AF66" i="9" s="1"/>
  <c r="AD3" i="9"/>
  <c r="AB3" i="9"/>
  <c r="AB66" i="9" s="1"/>
  <c r="Z3" i="9"/>
  <c r="X3" i="9"/>
  <c r="X66" i="9" s="1"/>
  <c r="V3" i="9"/>
  <c r="T3" i="9"/>
  <c r="T66" i="9" s="1"/>
  <c r="R3" i="9"/>
  <c r="P3" i="9"/>
  <c r="P66" i="9" s="1"/>
  <c r="N3" i="9"/>
  <c r="L3" i="9"/>
  <c r="L66" i="9" s="1"/>
  <c r="J3" i="9"/>
  <c r="H3" i="9"/>
  <c r="F3" i="9"/>
  <c r="D3" i="9"/>
  <c r="AV71" i="8"/>
  <c r="AT71" i="8"/>
  <c r="AR71" i="8"/>
  <c r="AP71" i="8"/>
  <c r="AN71" i="8"/>
  <c r="AL71" i="8"/>
  <c r="AJ71" i="8"/>
  <c r="AH71" i="8"/>
  <c r="AF71" i="8"/>
  <c r="AD71" i="8"/>
  <c r="AB71" i="8"/>
  <c r="Z71" i="8"/>
  <c r="X71" i="8"/>
  <c r="V71" i="8"/>
  <c r="T71" i="8"/>
  <c r="R71" i="8"/>
  <c r="P71" i="8"/>
  <c r="N71" i="8"/>
  <c r="L71" i="8"/>
  <c r="J71" i="8"/>
  <c r="AY69" i="8"/>
  <c r="AX69" i="8"/>
  <c r="AW69" i="8"/>
  <c r="H68" i="8"/>
  <c r="H71" i="8" s="1"/>
  <c r="F68" i="8"/>
  <c r="AX68" i="8" s="1"/>
  <c r="D68" i="8"/>
  <c r="D71" i="8" s="1"/>
  <c r="AV66" i="8"/>
  <c r="P66" i="8"/>
  <c r="AX65" i="8"/>
  <c r="AY65" i="8" s="1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J64" i="8"/>
  <c r="H64" i="8"/>
  <c r="F64" i="8"/>
  <c r="D64" i="8"/>
  <c r="AX63" i="8"/>
  <c r="AY63" i="8" s="1"/>
  <c r="AX62" i="8"/>
  <c r="AY62" i="8" s="1"/>
  <c r="AV61" i="8"/>
  <c r="AT61" i="8"/>
  <c r="AX61" i="8" s="1"/>
  <c r="AY61" i="8" s="1"/>
  <c r="AR61" i="8"/>
  <c r="AP61" i="8"/>
  <c r="AN61" i="8"/>
  <c r="AL61" i="8"/>
  <c r="AJ61" i="8"/>
  <c r="AH61" i="8"/>
  <c r="AF61" i="8"/>
  <c r="AD61" i="8"/>
  <c r="AB61" i="8"/>
  <c r="Z61" i="8"/>
  <c r="X61" i="8"/>
  <c r="V61" i="8"/>
  <c r="T61" i="8"/>
  <c r="R61" i="8"/>
  <c r="P61" i="8"/>
  <c r="N61" i="8"/>
  <c r="L61" i="8"/>
  <c r="J61" i="8"/>
  <c r="H61" i="8"/>
  <c r="F61" i="8"/>
  <c r="D61" i="8"/>
  <c r="AY60" i="8"/>
  <c r="AX60" i="8"/>
  <c r="AY59" i="8"/>
  <c r="AX59" i="8"/>
  <c r="AY58" i="8"/>
  <c r="AX58" i="8"/>
  <c r="AY57" i="8"/>
  <c r="AX57" i="8"/>
  <c r="AY56" i="8"/>
  <c r="AX56" i="8"/>
  <c r="AY55" i="8"/>
  <c r="AX55" i="8"/>
  <c r="AY54" i="8"/>
  <c r="AX54" i="8"/>
  <c r="AY53" i="8"/>
  <c r="AX53" i="8"/>
  <c r="AV52" i="8"/>
  <c r="AT52" i="8"/>
  <c r="AR52" i="8"/>
  <c r="AP52" i="8"/>
  <c r="AN52" i="8"/>
  <c r="AN66" i="8" s="1"/>
  <c r="AL52" i="8"/>
  <c r="AJ52" i="8"/>
  <c r="AH52" i="8"/>
  <c r="AF52" i="8"/>
  <c r="AF66" i="8" s="1"/>
  <c r="AD52" i="8"/>
  <c r="AB52" i="8"/>
  <c r="Z52" i="8"/>
  <c r="X52" i="8"/>
  <c r="V52" i="8"/>
  <c r="T52" i="8"/>
  <c r="R52" i="8"/>
  <c r="P52" i="8"/>
  <c r="N52" i="8"/>
  <c r="L52" i="8"/>
  <c r="J52" i="8"/>
  <c r="H52" i="8"/>
  <c r="H66" i="8" s="1"/>
  <c r="F52" i="8"/>
  <c r="D52" i="8"/>
  <c r="AX51" i="8"/>
  <c r="AY51" i="8" s="1"/>
  <c r="AX50" i="8"/>
  <c r="AY50" i="8" s="1"/>
  <c r="H50" i="8"/>
  <c r="AY49" i="8"/>
  <c r="AX49" i="8"/>
  <c r="AY48" i="8"/>
  <c r="AX48" i="8"/>
  <c r="AY47" i="8"/>
  <c r="AX47" i="8"/>
  <c r="AY46" i="8"/>
  <c r="AX46" i="8"/>
  <c r="AY45" i="8"/>
  <c r="AX45" i="8"/>
  <c r="AY44" i="8"/>
  <c r="AX44" i="8"/>
  <c r="AY43" i="8"/>
  <c r="AX43" i="8"/>
  <c r="AY42" i="8"/>
  <c r="AX42" i="8"/>
  <c r="AY41" i="8"/>
  <c r="AX41" i="8"/>
  <c r="AY40" i="8"/>
  <c r="AX40" i="8"/>
  <c r="AY39" i="8"/>
  <c r="AX39" i="8"/>
  <c r="AY38" i="8"/>
  <c r="AX38" i="8"/>
  <c r="AY37" i="8"/>
  <c r="AX37" i="8"/>
  <c r="D36" i="8"/>
  <c r="AX35" i="8"/>
  <c r="AY35" i="8" s="1"/>
  <c r="D35" i="8"/>
  <c r="AY34" i="8"/>
  <c r="AX34" i="8"/>
  <c r="AV33" i="8"/>
  <c r="AT33" i="8"/>
  <c r="AR33" i="8"/>
  <c r="AR66" i="8" s="1"/>
  <c r="AP33" i="8"/>
  <c r="AN33" i="8"/>
  <c r="AL33" i="8"/>
  <c r="AJ33" i="8"/>
  <c r="AJ66" i="8" s="1"/>
  <c r="AH33" i="8"/>
  <c r="AF33" i="8"/>
  <c r="AD33" i="8"/>
  <c r="AB33" i="8"/>
  <c r="AB66" i="8" s="1"/>
  <c r="Z33" i="8"/>
  <c r="X33" i="8"/>
  <c r="X66" i="8" s="1"/>
  <c r="V33" i="8"/>
  <c r="T33" i="8"/>
  <c r="T66" i="8" s="1"/>
  <c r="R33" i="8"/>
  <c r="P33" i="8"/>
  <c r="N33" i="8"/>
  <c r="L33" i="8"/>
  <c r="L66" i="8" s="1"/>
  <c r="J33" i="8"/>
  <c r="H33" i="8"/>
  <c r="F33" i="8"/>
  <c r="AX32" i="8"/>
  <c r="AY32" i="8" s="1"/>
  <c r="AX31" i="8"/>
  <c r="AY31" i="8" s="1"/>
  <c r="AX30" i="8"/>
  <c r="AY30" i="8" s="1"/>
  <c r="AX29" i="8"/>
  <c r="AY29" i="8" s="1"/>
  <c r="AX28" i="8"/>
  <c r="AY28" i="8" s="1"/>
  <c r="AX27" i="8"/>
  <c r="AY27" i="8" s="1"/>
  <c r="AX26" i="8"/>
  <c r="AY26" i="8" s="1"/>
  <c r="AX25" i="8"/>
  <c r="AY25" i="8" s="1"/>
  <c r="AX24" i="8"/>
  <c r="AY24" i="8" s="1"/>
  <c r="AX23" i="8"/>
  <c r="AY23" i="8" s="1"/>
  <c r="AX22" i="8"/>
  <c r="AY22" i="8" s="1"/>
  <c r="AX21" i="8"/>
  <c r="AY21" i="8" s="1"/>
  <c r="AX20" i="8"/>
  <c r="AY20" i="8" s="1"/>
  <c r="AX19" i="8"/>
  <c r="AY19" i="8" s="1"/>
  <c r="AX18" i="8"/>
  <c r="AY18" i="8" s="1"/>
  <c r="AX17" i="8"/>
  <c r="AY17" i="8" s="1"/>
  <c r="AX16" i="8"/>
  <c r="AY16" i="8" s="1"/>
  <c r="AX15" i="8"/>
  <c r="AY15" i="8" s="1"/>
  <c r="AX14" i="8"/>
  <c r="AY14" i="8" s="1"/>
  <c r="AX13" i="8"/>
  <c r="AY13" i="8" s="1"/>
  <c r="AX12" i="8"/>
  <c r="AY12" i="8" s="1"/>
  <c r="AX11" i="8"/>
  <c r="AY11" i="8" s="1"/>
  <c r="AX10" i="8"/>
  <c r="AY10" i="8" s="1"/>
  <c r="AX9" i="8"/>
  <c r="AY9" i="8" s="1"/>
  <c r="AX8" i="8"/>
  <c r="AY8" i="8" s="1"/>
  <c r="AX7" i="8"/>
  <c r="AY7" i="8" s="1"/>
  <c r="AX6" i="8"/>
  <c r="AY6" i="8" s="1"/>
  <c r="AX5" i="8"/>
  <c r="AY5" i="8" s="1"/>
  <c r="AX4" i="8"/>
  <c r="AY4" i="8" s="1"/>
  <c r="AV3" i="8"/>
  <c r="AT3" i="8"/>
  <c r="AR3" i="8"/>
  <c r="AP3" i="8"/>
  <c r="AP66" i="8" s="1"/>
  <c r="AN3" i="8"/>
  <c r="AL3" i="8"/>
  <c r="AJ3" i="8"/>
  <c r="AH3" i="8"/>
  <c r="AH66" i="8" s="1"/>
  <c r="AF3" i="8"/>
  <c r="AD3" i="8"/>
  <c r="AB3" i="8"/>
  <c r="Z3" i="8"/>
  <c r="Z66" i="8" s="1"/>
  <c r="X3" i="8"/>
  <c r="V3" i="8"/>
  <c r="T3" i="8"/>
  <c r="R3" i="8"/>
  <c r="R66" i="8" s="1"/>
  <c r="P3" i="8"/>
  <c r="N3" i="8"/>
  <c r="L3" i="8"/>
  <c r="J3" i="8"/>
  <c r="J66" i="8" s="1"/>
  <c r="H3" i="8"/>
  <c r="F3" i="8"/>
  <c r="D3" i="8"/>
  <c r="AV70" i="7"/>
  <c r="AT70" i="7"/>
  <c r="AR70" i="7"/>
  <c r="AP70" i="7"/>
  <c r="AN70" i="7"/>
  <c r="AL70" i="7"/>
  <c r="AJ70" i="7"/>
  <c r="AH70" i="7"/>
  <c r="AF70" i="7"/>
  <c r="AD70" i="7"/>
  <c r="AB70" i="7"/>
  <c r="Z70" i="7"/>
  <c r="X70" i="7"/>
  <c r="V70" i="7"/>
  <c r="R70" i="7"/>
  <c r="P70" i="7"/>
  <c r="N70" i="7"/>
  <c r="L70" i="7"/>
  <c r="J70" i="7"/>
  <c r="H70" i="7"/>
  <c r="F70" i="7"/>
  <c r="D70" i="7"/>
  <c r="AX68" i="7"/>
  <c r="AY68" i="7" s="1"/>
  <c r="AW68" i="7"/>
  <c r="T67" i="7"/>
  <c r="D67" i="7"/>
  <c r="AN65" i="7"/>
  <c r="H65" i="7"/>
  <c r="AX64" i="7"/>
  <c r="AY64" i="7" s="1"/>
  <c r="AV63" i="7"/>
  <c r="AT63" i="7"/>
  <c r="AR63" i="7"/>
  <c r="AP63" i="7"/>
  <c r="AN63" i="7"/>
  <c r="AL63" i="7"/>
  <c r="AJ63" i="7"/>
  <c r="AH63" i="7"/>
  <c r="AF63" i="7"/>
  <c r="AD63" i="7"/>
  <c r="AB63" i="7"/>
  <c r="Z63" i="7"/>
  <c r="X63" i="7"/>
  <c r="V63" i="7"/>
  <c r="T63" i="7"/>
  <c r="R63" i="7"/>
  <c r="P63" i="7"/>
  <c r="N63" i="7"/>
  <c r="J63" i="7"/>
  <c r="H63" i="7"/>
  <c r="F63" i="7"/>
  <c r="D63" i="7"/>
  <c r="AX62" i="7"/>
  <c r="AY62" i="7" s="1"/>
  <c r="AX61" i="7"/>
  <c r="AY61" i="7" s="1"/>
  <c r="AV60" i="7"/>
  <c r="AT60" i="7"/>
  <c r="AR60" i="7"/>
  <c r="AP60" i="7"/>
  <c r="AN60" i="7"/>
  <c r="AL60" i="7"/>
  <c r="AJ60" i="7"/>
  <c r="AH60" i="7"/>
  <c r="AF60" i="7"/>
  <c r="AD60" i="7"/>
  <c r="AB60" i="7"/>
  <c r="Z60" i="7"/>
  <c r="X60" i="7"/>
  <c r="V60" i="7"/>
  <c r="T60" i="7"/>
  <c r="R60" i="7"/>
  <c r="P60" i="7"/>
  <c r="N60" i="7"/>
  <c r="L60" i="7"/>
  <c r="J60" i="7"/>
  <c r="H60" i="7"/>
  <c r="F60" i="7"/>
  <c r="D60" i="7"/>
  <c r="AY59" i="7"/>
  <c r="AX59" i="7"/>
  <c r="AY58" i="7"/>
  <c r="AX58" i="7"/>
  <c r="AY57" i="7"/>
  <c r="AX57" i="7"/>
  <c r="AY56" i="7"/>
  <c r="AX56" i="7"/>
  <c r="AY55" i="7"/>
  <c r="AX55" i="7"/>
  <c r="AY54" i="7"/>
  <c r="AX54" i="7"/>
  <c r="AY53" i="7"/>
  <c r="AX53" i="7"/>
  <c r="AY52" i="7"/>
  <c r="AX52" i="7"/>
  <c r="AV51" i="7"/>
  <c r="AV65" i="7" s="1"/>
  <c r="AT51" i="7"/>
  <c r="AR51" i="7"/>
  <c r="AP51" i="7"/>
  <c r="AN51" i="7"/>
  <c r="AL51" i="7"/>
  <c r="AJ51" i="7"/>
  <c r="AH51" i="7"/>
  <c r="AF51" i="7"/>
  <c r="AF65" i="7" s="1"/>
  <c r="AD51" i="7"/>
  <c r="AB51" i="7"/>
  <c r="Z51" i="7"/>
  <c r="X51" i="7"/>
  <c r="X65" i="7" s="1"/>
  <c r="V51" i="7"/>
  <c r="T51" i="7"/>
  <c r="R51" i="7"/>
  <c r="P51" i="7"/>
  <c r="P65" i="7" s="1"/>
  <c r="N51" i="7"/>
  <c r="L51" i="7"/>
  <c r="J51" i="7"/>
  <c r="H51" i="7"/>
  <c r="F51" i="7"/>
  <c r="D51" i="7"/>
  <c r="AX50" i="7"/>
  <c r="AY50" i="7" s="1"/>
  <c r="T50" i="7"/>
  <c r="R50" i="7"/>
  <c r="R33" i="7" s="1"/>
  <c r="P50" i="7"/>
  <c r="N50" i="7"/>
  <c r="N33" i="7" s="1"/>
  <c r="AX48" i="7"/>
  <c r="AY48" i="7" s="1"/>
  <c r="AX47" i="7"/>
  <c r="AY47" i="7" s="1"/>
  <c r="AX46" i="7"/>
  <c r="AY46" i="7" s="1"/>
  <c r="AX45" i="7"/>
  <c r="AY45" i="7" s="1"/>
  <c r="AX44" i="7"/>
  <c r="AY44" i="7" s="1"/>
  <c r="AX43" i="7"/>
  <c r="AY43" i="7" s="1"/>
  <c r="AX42" i="7"/>
  <c r="AY42" i="7" s="1"/>
  <c r="AX41" i="7"/>
  <c r="AY41" i="7" s="1"/>
  <c r="AX40" i="7"/>
  <c r="AY40" i="7" s="1"/>
  <c r="AX39" i="7"/>
  <c r="AY39" i="7" s="1"/>
  <c r="AX38" i="7"/>
  <c r="AY38" i="7" s="1"/>
  <c r="AX37" i="7"/>
  <c r="AY37" i="7" s="1"/>
  <c r="AX36" i="7"/>
  <c r="AY36" i="7" s="1"/>
  <c r="T36" i="7"/>
  <c r="AY35" i="7"/>
  <c r="AX35" i="7"/>
  <c r="AY34" i="7"/>
  <c r="AX34" i="7"/>
  <c r="AV33" i="7"/>
  <c r="AT33" i="7"/>
  <c r="AR33" i="7"/>
  <c r="AR65" i="7" s="1"/>
  <c r="AP33" i="7"/>
  <c r="AN33" i="7"/>
  <c r="AL33" i="7"/>
  <c r="AJ33" i="7"/>
  <c r="AJ65" i="7" s="1"/>
  <c r="AH33" i="7"/>
  <c r="AF33" i="7"/>
  <c r="AD33" i="7"/>
  <c r="AB33" i="7"/>
  <c r="AB65" i="7" s="1"/>
  <c r="Z33" i="7"/>
  <c r="X33" i="7"/>
  <c r="V33" i="7"/>
  <c r="T33" i="7"/>
  <c r="T65" i="7" s="1"/>
  <c r="P33" i="7"/>
  <c r="L33" i="7"/>
  <c r="L65" i="7" s="1"/>
  <c r="J33" i="7"/>
  <c r="H33" i="7"/>
  <c r="F33" i="7"/>
  <c r="D33" i="7"/>
  <c r="AX32" i="7"/>
  <c r="AY32" i="7" s="1"/>
  <c r="R32" i="7"/>
  <c r="AY30" i="7"/>
  <c r="AX30" i="7"/>
  <c r="AY29" i="7"/>
  <c r="AX29" i="7"/>
  <c r="AY28" i="7"/>
  <c r="AX28" i="7"/>
  <c r="AY27" i="7"/>
  <c r="AX27" i="7"/>
  <c r="AY26" i="7"/>
  <c r="AX26" i="7"/>
  <c r="AY25" i="7"/>
  <c r="AX25" i="7"/>
  <c r="AY24" i="7"/>
  <c r="AX24" i="7"/>
  <c r="AY23" i="7"/>
  <c r="AX23" i="7"/>
  <c r="AY22" i="7"/>
  <c r="AX22" i="7"/>
  <c r="D21" i="7"/>
  <c r="AX20" i="7"/>
  <c r="AY20" i="7" s="1"/>
  <c r="AX19" i="7"/>
  <c r="AY19" i="7" s="1"/>
  <c r="AX18" i="7"/>
  <c r="AY18" i="7" s="1"/>
  <c r="AX17" i="7"/>
  <c r="AY17" i="7" s="1"/>
  <c r="AX16" i="7"/>
  <c r="AY16" i="7" s="1"/>
  <c r="AX15" i="7"/>
  <c r="AY15" i="7" s="1"/>
  <c r="AX14" i="7"/>
  <c r="AY14" i="7" s="1"/>
  <c r="AX13" i="7"/>
  <c r="AY13" i="7" s="1"/>
  <c r="AX12" i="7"/>
  <c r="AY12" i="7" s="1"/>
  <c r="AX11" i="7"/>
  <c r="AY11" i="7" s="1"/>
  <c r="AX10" i="7"/>
  <c r="AY10" i="7" s="1"/>
  <c r="AX9" i="7"/>
  <c r="AY9" i="7" s="1"/>
  <c r="AX8" i="7"/>
  <c r="AY8" i="7" s="1"/>
  <c r="AX7" i="7"/>
  <c r="AY7" i="7" s="1"/>
  <c r="AX6" i="7"/>
  <c r="AY6" i="7" s="1"/>
  <c r="AX5" i="7"/>
  <c r="AY5" i="7" s="1"/>
  <c r="AX4" i="7"/>
  <c r="AY4" i="7" s="1"/>
  <c r="AV3" i="7"/>
  <c r="AT3" i="7"/>
  <c r="AT65" i="7" s="1"/>
  <c r="AR3" i="7"/>
  <c r="AP3" i="7"/>
  <c r="AP65" i="7" s="1"/>
  <c r="AN3" i="7"/>
  <c r="AL3" i="7"/>
  <c r="AL65" i="7" s="1"/>
  <c r="AJ3" i="7"/>
  <c r="AH3" i="7"/>
  <c r="AH65" i="7" s="1"/>
  <c r="AF3" i="7"/>
  <c r="AD3" i="7"/>
  <c r="AD65" i="7" s="1"/>
  <c r="AB3" i="7"/>
  <c r="Z3" i="7"/>
  <c r="Z65" i="7" s="1"/>
  <c r="X3" i="7"/>
  <c r="V3" i="7"/>
  <c r="V65" i="7" s="1"/>
  <c r="T3" i="7"/>
  <c r="R3" i="7"/>
  <c r="P3" i="7"/>
  <c r="N3" i="7"/>
  <c r="L3" i="7"/>
  <c r="J3" i="7"/>
  <c r="J65" i="7" s="1"/>
  <c r="H3" i="7"/>
  <c r="F3" i="7"/>
  <c r="F65" i="7" s="1"/>
  <c r="AV68" i="6"/>
  <c r="AT68" i="6"/>
  <c r="AR68" i="6"/>
  <c r="AP68" i="6"/>
  <c r="AN68" i="6"/>
  <c r="AL68" i="6"/>
  <c r="AJ68" i="6"/>
  <c r="AH68" i="6"/>
  <c r="AF68" i="6"/>
  <c r="AD68" i="6"/>
  <c r="AB68" i="6"/>
  <c r="Z68" i="6"/>
  <c r="X68" i="6"/>
  <c r="V68" i="6"/>
  <c r="T68" i="6"/>
  <c r="P68" i="6"/>
  <c r="L68" i="6"/>
  <c r="H68" i="6"/>
  <c r="D68" i="6"/>
  <c r="AX66" i="6"/>
  <c r="AY66" i="6" s="1"/>
  <c r="AW66" i="6"/>
  <c r="R65" i="6"/>
  <c r="R68" i="6" s="1"/>
  <c r="P65" i="6"/>
  <c r="N65" i="6"/>
  <c r="N68" i="6" s="1"/>
  <c r="J65" i="6"/>
  <c r="J68" i="6" s="1"/>
  <c r="H65" i="6"/>
  <c r="F65" i="6"/>
  <c r="F68" i="6" s="1"/>
  <c r="D65" i="6"/>
  <c r="AH63" i="6"/>
  <c r="AY62" i="6"/>
  <c r="AX62" i="6"/>
  <c r="AV61" i="6"/>
  <c r="AT61" i="6"/>
  <c r="AR61" i="6"/>
  <c r="AP61" i="6"/>
  <c r="AN61" i="6"/>
  <c r="AL61" i="6"/>
  <c r="AJ61" i="6"/>
  <c r="AH61" i="6"/>
  <c r="AF61" i="6"/>
  <c r="AD61" i="6"/>
  <c r="AB61" i="6"/>
  <c r="Z61" i="6"/>
  <c r="X61" i="6"/>
  <c r="V61" i="6"/>
  <c r="T61" i="6"/>
  <c r="R61" i="6"/>
  <c r="P61" i="6"/>
  <c r="N61" i="6"/>
  <c r="J61" i="6"/>
  <c r="H61" i="6"/>
  <c r="F61" i="6"/>
  <c r="D61" i="6"/>
  <c r="AY60" i="6"/>
  <c r="AX60" i="6"/>
  <c r="AY59" i="6"/>
  <c r="AX59" i="6"/>
  <c r="AV58" i="6"/>
  <c r="AT58" i="6"/>
  <c r="AR58" i="6"/>
  <c r="AP58" i="6"/>
  <c r="AN58" i="6"/>
  <c r="AL58" i="6"/>
  <c r="AJ58" i="6"/>
  <c r="AH58" i="6"/>
  <c r="AF58" i="6"/>
  <c r="AD58" i="6"/>
  <c r="AB58" i="6"/>
  <c r="Z58" i="6"/>
  <c r="X58" i="6"/>
  <c r="V58" i="6"/>
  <c r="T58" i="6"/>
  <c r="R58" i="6"/>
  <c r="P58" i="6"/>
  <c r="N58" i="6"/>
  <c r="L58" i="6"/>
  <c r="J58" i="6"/>
  <c r="H58" i="6"/>
  <c r="F58" i="6"/>
  <c r="D58" i="6"/>
  <c r="AX57" i="6"/>
  <c r="AY57" i="6" s="1"/>
  <c r="AX56" i="6"/>
  <c r="AY56" i="6" s="1"/>
  <c r="AX55" i="6"/>
  <c r="AY55" i="6" s="1"/>
  <c r="H55" i="6"/>
  <c r="H49" i="6" s="1"/>
  <c r="R54" i="6"/>
  <c r="AX54" i="6" s="1"/>
  <c r="AY54" i="6" s="1"/>
  <c r="AX53" i="6"/>
  <c r="AY53" i="6" s="1"/>
  <c r="R53" i="6"/>
  <c r="R52" i="6"/>
  <c r="AX52" i="6" s="1"/>
  <c r="AY52" i="6" s="1"/>
  <c r="AX51" i="6"/>
  <c r="AY51" i="6" s="1"/>
  <c r="R51" i="6"/>
  <c r="P50" i="6"/>
  <c r="AV49" i="6"/>
  <c r="AT49" i="6"/>
  <c r="AR49" i="6"/>
  <c r="AP49" i="6"/>
  <c r="AN49" i="6"/>
  <c r="AL49" i="6"/>
  <c r="AJ49" i="6"/>
  <c r="AH49" i="6"/>
  <c r="AF49" i="6"/>
  <c r="AD49" i="6"/>
  <c r="AB49" i="6"/>
  <c r="Z49" i="6"/>
  <c r="X49" i="6"/>
  <c r="V49" i="6"/>
  <c r="T49" i="6"/>
  <c r="N49" i="6"/>
  <c r="L49" i="6"/>
  <c r="J49" i="6"/>
  <c r="F49" i="6"/>
  <c r="D49" i="6"/>
  <c r="AY48" i="6"/>
  <c r="AX48" i="6"/>
  <c r="AY47" i="6"/>
  <c r="AX47" i="6"/>
  <c r="AY46" i="6"/>
  <c r="AX46" i="6"/>
  <c r="AY45" i="6"/>
  <c r="AX45" i="6"/>
  <c r="AY44" i="6"/>
  <c r="AX44" i="6"/>
  <c r="AY43" i="6"/>
  <c r="AX43" i="6"/>
  <c r="AY42" i="6"/>
  <c r="AX42" i="6"/>
  <c r="AY41" i="6"/>
  <c r="AX41" i="6"/>
  <c r="AY40" i="6"/>
  <c r="AX40" i="6"/>
  <c r="AY39" i="6"/>
  <c r="AX39" i="6"/>
  <c r="AY38" i="6"/>
  <c r="AX38" i="6"/>
  <c r="AY37" i="6"/>
  <c r="AX37" i="6"/>
  <c r="AY36" i="6"/>
  <c r="AX36" i="6"/>
  <c r="H35" i="6"/>
  <c r="AX35" i="6" s="1"/>
  <c r="AY35" i="6" s="1"/>
  <c r="AX34" i="6"/>
  <c r="AY34" i="6" s="1"/>
  <c r="H34" i="6"/>
  <c r="H33" i="6"/>
  <c r="AV32" i="6"/>
  <c r="AT32" i="6"/>
  <c r="AR32" i="6"/>
  <c r="AP32" i="6"/>
  <c r="AN32" i="6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J32" i="6"/>
  <c r="F32" i="6"/>
  <c r="D32" i="6"/>
  <c r="AY31" i="6"/>
  <c r="P31" i="6"/>
  <c r="AX31" i="6" s="1"/>
  <c r="AX30" i="6"/>
  <c r="AY30" i="6" s="1"/>
  <c r="AX29" i="6"/>
  <c r="AY29" i="6" s="1"/>
  <c r="AX28" i="6"/>
  <c r="AY28" i="6" s="1"/>
  <c r="J28" i="6"/>
  <c r="AY27" i="6"/>
  <c r="AX27" i="6"/>
  <c r="AY26" i="6"/>
  <c r="J26" i="6"/>
  <c r="AX26" i="6" s="1"/>
  <c r="F26" i="6"/>
  <c r="P25" i="6"/>
  <c r="AX25" i="6" s="1"/>
  <c r="AY25" i="6" s="1"/>
  <c r="J25" i="6"/>
  <c r="H25" i="6"/>
  <c r="H3" i="6" s="1"/>
  <c r="F25" i="6"/>
  <c r="AY24" i="6"/>
  <c r="AX24" i="6"/>
  <c r="AY23" i="6"/>
  <c r="AX23" i="6"/>
  <c r="AY22" i="6"/>
  <c r="AX22" i="6"/>
  <c r="AY21" i="6"/>
  <c r="R21" i="6"/>
  <c r="AX21" i="6" s="1"/>
  <c r="P21" i="6"/>
  <c r="O21" i="6"/>
  <c r="J21" i="6"/>
  <c r="AY20" i="6"/>
  <c r="AX20" i="6"/>
  <c r="AY19" i="6"/>
  <c r="AX19" i="6"/>
  <c r="P18" i="6"/>
  <c r="AX18" i="6" s="1"/>
  <c r="AY18" i="6" s="1"/>
  <c r="AX17" i="6"/>
  <c r="AY17" i="6" s="1"/>
  <c r="AX16" i="6"/>
  <c r="AY16" i="6" s="1"/>
  <c r="AX15" i="6"/>
  <c r="AY15" i="6" s="1"/>
  <c r="N15" i="6"/>
  <c r="AY14" i="6"/>
  <c r="AX14" i="6"/>
  <c r="AY13" i="6"/>
  <c r="AX13" i="6"/>
  <c r="AY12" i="6"/>
  <c r="AX12" i="6"/>
  <c r="AY11" i="6"/>
  <c r="AX11" i="6"/>
  <c r="P10" i="6"/>
  <c r="AX10" i="6" s="1"/>
  <c r="AY10" i="6" s="1"/>
  <c r="AX9" i="6"/>
  <c r="AY9" i="6" s="1"/>
  <c r="AX8" i="6"/>
  <c r="AY8" i="6" s="1"/>
  <c r="AX7" i="6"/>
  <c r="AY7" i="6" s="1"/>
  <c r="AX6" i="6"/>
  <c r="AY6" i="6" s="1"/>
  <c r="AX5" i="6"/>
  <c r="AY5" i="6" s="1"/>
  <c r="R5" i="6"/>
  <c r="Q5" i="6"/>
  <c r="P5" i="6"/>
  <c r="O5" i="6"/>
  <c r="J5" i="6"/>
  <c r="I5" i="6"/>
  <c r="F5" i="6"/>
  <c r="E5" i="6"/>
  <c r="AX4" i="6"/>
  <c r="AY4" i="6" s="1"/>
  <c r="R4" i="6"/>
  <c r="Q4" i="6"/>
  <c r="P4" i="6"/>
  <c r="O4" i="6"/>
  <c r="J4" i="6"/>
  <c r="I4" i="6"/>
  <c r="F4" i="6"/>
  <c r="E4" i="6"/>
  <c r="AV3" i="6"/>
  <c r="AV63" i="6" s="1"/>
  <c r="AT3" i="6"/>
  <c r="AT63" i="6" s="1"/>
  <c r="AR3" i="6"/>
  <c r="AR63" i="6" s="1"/>
  <c r="AP3" i="6"/>
  <c r="AN3" i="6"/>
  <c r="AN63" i="6" s="1"/>
  <c r="AL3" i="6"/>
  <c r="AL63" i="6" s="1"/>
  <c r="AJ3" i="6"/>
  <c r="AJ63" i="6" s="1"/>
  <c r="AH3" i="6"/>
  <c r="AF3" i="6"/>
  <c r="AF63" i="6" s="1"/>
  <c r="AD3" i="6"/>
  <c r="AD63" i="6" s="1"/>
  <c r="AB3" i="6"/>
  <c r="AB63" i="6" s="1"/>
  <c r="Z3" i="6"/>
  <c r="Z63" i="6" s="1"/>
  <c r="X3" i="6"/>
  <c r="X63" i="6" s="1"/>
  <c r="V3" i="6"/>
  <c r="V63" i="6" s="1"/>
  <c r="T3" i="6"/>
  <c r="T63" i="6" s="1"/>
  <c r="R3" i="6"/>
  <c r="N3" i="6"/>
  <c r="N63" i="6" s="1"/>
  <c r="L3" i="6"/>
  <c r="J3" i="6"/>
  <c r="J63" i="6" s="1"/>
  <c r="F3" i="6"/>
  <c r="F63" i="6" s="1"/>
  <c r="D3" i="6"/>
  <c r="AX67" i="5"/>
  <c r="AV67" i="5"/>
  <c r="AT67" i="5"/>
  <c r="AN67" i="5"/>
  <c r="AL67" i="5"/>
  <c r="AH67" i="5"/>
  <c r="AD67" i="5"/>
  <c r="Z67" i="5"/>
  <c r="T67" i="5"/>
  <c r="R67" i="5"/>
  <c r="P67" i="5"/>
  <c r="N67" i="5"/>
  <c r="H67" i="5"/>
  <c r="F67" i="5"/>
  <c r="D67" i="5"/>
  <c r="AZ65" i="5"/>
  <c r="BA65" i="5" s="1"/>
  <c r="AY65" i="5"/>
  <c r="AR64" i="5"/>
  <c r="AR67" i="5" s="1"/>
  <c r="AP64" i="5"/>
  <c r="AP67" i="5" s="1"/>
  <c r="AJ64" i="5"/>
  <c r="AJ67" i="5" s="1"/>
  <c r="AH64" i="5"/>
  <c r="AF64" i="5"/>
  <c r="AF67" i="5" s="1"/>
  <c r="AD64" i="5"/>
  <c r="AB64" i="5"/>
  <c r="AB67" i="5" s="1"/>
  <c r="Z64" i="5"/>
  <c r="X64" i="5"/>
  <c r="X67" i="5" s="1"/>
  <c r="P64" i="5"/>
  <c r="L64" i="5"/>
  <c r="L67" i="5" s="1"/>
  <c r="J64" i="5"/>
  <c r="J67" i="5" s="1"/>
  <c r="H64" i="5"/>
  <c r="D64" i="5"/>
  <c r="AP62" i="5"/>
  <c r="V62" i="5"/>
  <c r="N62" i="5"/>
  <c r="F62" i="5"/>
  <c r="BA61" i="5"/>
  <c r="AZ61" i="5"/>
  <c r="AX60" i="5"/>
  <c r="AV60" i="5"/>
  <c r="AT60" i="5"/>
  <c r="AR60" i="5"/>
  <c r="AP60" i="5"/>
  <c r="AN60" i="5"/>
  <c r="AL60" i="5"/>
  <c r="AJ60" i="5"/>
  <c r="AH60" i="5"/>
  <c r="AF60" i="5"/>
  <c r="AD60" i="5"/>
  <c r="AB60" i="5"/>
  <c r="Z60" i="5"/>
  <c r="X60" i="5"/>
  <c r="V60" i="5"/>
  <c r="T60" i="5"/>
  <c r="R60" i="5"/>
  <c r="P60" i="5"/>
  <c r="N60" i="5"/>
  <c r="J60" i="5"/>
  <c r="H60" i="5"/>
  <c r="F60" i="5"/>
  <c r="D60" i="5"/>
  <c r="AZ59" i="5"/>
  <c r="BA59" i="5" s="1"/>
  <c r="AZ58" i="5"/>
  <c r="BA58" i="5" s="1"/>
  <c r="AX57" i="5"/>
  <c r="AV57" i="5"/>
  <c r="AZ57" i="5" s="1"/>
  <c r="BA57" i="5" s="1"/>
  <c r="AT57" i="5"/>
  <c r="AR57" i="5"/>
  <c r="AP57" i="5"/>
  <c r="AN57" i="5"/>
  <c r="AL57" i="5"/>
  <c r="AJ57" i="5"/>
  <c r="AH57" i="5"/>
  <c r="AF57" i="5"/>
  <c r="AD57" i="5"/>
  <c r="AB57" i="5"/>
  <c r="Z57" i="5"/>
  <c r="X57" i="5"/>
  <c r="V57" i="5"/>
  <c r="T57" i="5"/>
  <c r="R57" i="5"/>
  <c r="P57" i="5"/>
  <c r="N57" i="5"/>
  <c r="L57" i="5"/>
  <c r="J57" i="5"/>
  <c r="H57" i="5"/>
  <c r="F57" i="5"/>
  <c r="D57" i="5"/>
  <c r="AZ56" i="5"/>
  <c r="BA56" i="5" s="1"/>
  <c r="AZ55" i="5"/>
  <c r="BA55" i="5" s="1"/>
  <c r="AZ54" i="5"/>
  <c r="BA54" i="5" s="1"/>
  <c r="AZ53" i="5"/>
  <c r="BA53" i="5" s="1"/>
  <c r="AZ52" i="5"/>
  <c r="BA52" i="5" s="1"/>
  <c r="AZ51" i="5"/>
  <c r="BA51" i="5" s="1"/>
  <c r="AZ50" i="5"/>
  <c r="BA50" i="5" s="1"/>
  <c r="AZ49" i="5"/>
  <c r="BA49" i="5" s="1"/>
  <c r="AX48" i="5"/>
  <c r="AV48" i="5"/>
  <c r="AT48" i="5"/>
  <c r="AR48" i="5"/>
  <c r="AZ48" i="5" s="1"/>
  <c r="BA48" i="5" s="1"/>
  <c r="AP48" i="5"/>
  <c r="AN48" i="5"/>
  <c r="AL48" i="5"/>
  <c r="AJ48" i="5"/>
  <c r="AH48" i="5"/>
  <c r="AF48" i="5"/>
  <c r="AD48" i="5"/>
  <c r="AB48" i="5"/>
  <c r="Z48" i="5"/>
  <c r="X48" i="5"/>
  <c r="V48" i="5"/>
  <c r="T48" i="5"/>
  <c r="R48" i="5"/>
  <c r="P48" i="5"/>
  <c r="N48" i="5"/>
  <c r="L48" i="5"/>
  <c r="J48" i="5"/>
  <c r="H48" i="5"/>
  <c r="F48" i="5"/>
  <c r="D48" i="5"/>
  <c r="AZ47" i="5"/>
  <c r="BA47" i="5" s="1"/>
  <c r="AZ46" i="5"/>
  <c r="BA46" i="5" s="1"/>
  <c r="AZ45" i="5"/>
  <c r="BA45" i="5" s="1"/>
  <c r="AZ44" i="5"/>
  <c r="BA44" i="5" s="1"/>
  <c r="AZ43" i="5"/>
  <c r="BA43" i="5" s="1"/>
  <c r="AZ42" i="5"/>
  <c r="BA42" i="5" s="1"/>
  <c r="AZ41" i="5"/>
  <c r="BA41" i="5" s="1"/>
  <c r="AZ40" i="5"/>
  <c r="BA40" i="5" s="1"/>
  <c r="AZ39" i="5"/>
  <c r="BA39" i="5" s="1"/>
  <c r="AZ38" i="5"/>
  <c r="BA38" i="5" s="1"/>
  <c r="AZ37" i="5"/>
  <c r="BA37" i="5" s="1"/>
  <c r="AZ36" i="5"/>
  <c r="BA36" i="5" s="1"/>
  <c r="AP35" i="5"/>
  <c r="X35" i="5"/>
  <c r="AZ35" i="5" s="1"/>
  <c r="BA35" i="5" s="1"/>
  <c r="J35" i="5"/>
  <c r="BA34" i="5"/>
  <c r="AZ34" i="5"/>
  <c r="BA33" i="5"/>
  <c r="J33" i="5"/>
  <c r="AZ33" i="5" s="1"/>
  <c r="AZ32" i="5"/>
  <c r="BA32" i="5" s="1"/>
  <c r="AX31" i="5"/>
  <c r="AV31" i="5"/>
  <c r="AT31" i="5"/>
  <c r="AR31" i="5"/>
  <c r="AP31" i="5"/>
  <c r="AN31" i="5"/>
  <c r="AL31" i="5"/>
  <c r="AJ31" i="5"/>
  <c r="AH31" i="5"/>
  <c r="AF31" i="5"/>
  <c r="AD31" i="5"/>
  <c r="AB31" i="5"/>
  <c r="Z31" i="5"/>
  <c r="X31" i="5"/>
  <c r="V31" i="5"/>
  <c r="T31" i="5"/>
  <c r="R31" i="5"/>
  <c r="P31" i="5"/>
  <c r="N31" i="5"/>
  <c r="L31" i="5"/>
  <c r="H31" i="5"/>
  <c r="F31" i="5"/>
  <c r="D31" i="5"/>
  <c r="AZ30" i="5"/>
  <c r="BA30" i="5" s="1"/>
  <c r="AZ29" i="5"/>
  <c r="BA29" i="5" s="1"/>
  <c r="AZ28" i="5"/>
  <c r="BA28" i="5" s="1"/>
  <c r="AZ27" i="5"/>
  <c r="BA27" i="5" s="1"/>
  <c r="AR26" i="5"/>
  <c r="AJ26" i="5"/>
  <c r="AI26" i="5"/>
  <c r="AF26" i="5"/>
  <c r="AZ26" i="5" s="1"/>
  <c r="BA26" i="5" s="1"/>
  <c r="L26" i="5"/>
  <c r="K26" i="5"/>
  <c r="AR25" i="5"/>
  <c r="AJ25" i="5"/>
  <c r="AI25" i="5"/>
  <c r="AF25" i="5"/>
  <c r="AZ25" i="5" s="1"/>
  <c r="BA25" i="5" s="1"/>
  <c r="AZ24" i="5"/>
  <c r="BA24" i="5" s="1"/>
  <c r="AZ23" i="5"/>
  <c r="BA23" i="5" s="1"/>
  <c r="AZ22" i="5"/>
  <c r="BA22" i="5" s="1"/>
  <c r="AR21" i="5"/>
  <c r="AJ21" i="5"/>
  <c r="AI21" i="5"/>
  <c r="AH21" i="5"/>
  <c r="AH3" i="5" s="1"/>
  <c r="AH62" i="5" s="1"/>
  <c r="AF21" i="5"/>
  <c r="AE21" i="5"/>
  <c r="AD21" i="5"/>
  <c r="L21" i="5"/>
  <c r="L3" i="5" s="1"/>
  <c r="K21" i="5"/>
  <c r="J21" i="5"/>
  <c r="H21" i="5"/>
  <c r="G21" i="5"/>
  <c r="D21" i="5"/>
  <c r="AF20" i="5"/>
  <c r="AZ20" i="5" s="1"/>
  <c r="BA20" i="5" s="1"/>
  <c r="AD20" i="5"/>
  <c r="J20" i="5"/>
  <c r="J3" i="5" s="1"/>
  <c r="AZ19" i="5"/>
  <c r="BA19" i="5" s="1"/>
  <c r="AF19" i="5"/>
  <c r="Z19" i="5"/>
  <c r="Z3" i="5" s="1"/>
  <c r="Z62" i="5" s="1"/>
  <c r="L19" i="5"/>
  <c r="AF18" i="5"/>
  <c r="AZ18" i="5" s="1"/>
  <c r="BA18" i="5" s="1"/>
  <c r="P18" i="5"/>
  <c r="H18" i="5"/>
  <c r="AZ17" i="5"/>
  <c r="BA17" i="5" s="1"/>
  <c r="AZ16" i="5"/>
  <c r="BA16" i="5" s="1"/>
  <c r="AZ15" i="5"/>
  <c r="BA15" i="5" s="1"/>
  <c r="AZ14" i="5"/>
  <c r="BA14" i="5" s="1"/>
  <c r="AZ13" i="5"/>
  <c r="BA13" i="5" s="1"/>
  <c r="AZ12" i="5"/>
  <c r="BA12" i="5" s="1"/>
  <c r="AZ11" i="5"/>
  <c r="BA11" i="5" s="1"/>
  <c r="AZ10" i="5"/>
  <c r="BA10" i="5" s="1"/>
  <c r="AZ9" i="5"/>
  <c r="BA9" i="5" s="1"/>
  <c r="AZ8" i="5"/>
  <c r="BA8" i="5" s="1"/>
  <c r="AZ7" i="5"/>
  <c r="BA7" i="5" s="1"/>
  <c r="AZ6" i="5"/>
  <c r="BA6" i="5" s="1"/>
  <c r="AZ5" i="5"/>
  <c r="BA5" i="5" s="1"/>
  <c r="AR5" i="5"/>
  <c r="AQ5" i="5"/>
  <c r="AJ5" i="5"/>
  <c r="AI5" i="5"/>
  <c r="AF5" i="5"/>
  <c r="AE5" i="5"/>
  <c r="Z5" i="5"/>
  <c r="Y5" i="5"/>
  <c r="P5" i="5"/>
  <c r="O5" i="5"/>
  <c r="L5" i="5"/>
  <c r="K5" i="5"/>
  <c r="H5" i="5"/>
  <c r="G5" i="5"/>
  <c r="D5" i="5"/>
  <c r="C5" i="5"/>
  <c r="AZ4" i="5"/>
  <c r="BA4" i="5" s="1"/>
  <c r="AR4" i="5"/>
  <c r="AQ4" i="5"/>
  <c r="AJ4" i="5"/>
  <c r="AI4" i="5"/>
  <c r="AF4" i="5"/>
  <c r="AE4" i="5"/>
  <c r="Z4" i="5"/>
  <c r="Y4" i="5"/>
  <c r="P4" i="5"/>
  <c r="O4" i="5"/>
  <c r="L4" i="5"/>
  <c r="K4" i="5"/>
  <c r="H4" i="5"/>
  <c r="G4" i="5"/>
  <c r="D4" i="5"/>
  <c r="C4" i="5"/>
  <c r="AX3" i="5"/>
  <c r="AX62" i="5" s="1"/>
  <c r="AV3" i="5"/>
  <c r="AT3" i="5"/>
  <c r="AR3" i="5"/>
  <c r="AP3" i="5"/>
  <c r="AN3" i="5"/>
  <c r="AL3" i="5"/>
  <c r="AJ3" i="5"/>
  <c r="AF3" i="5"/>
  <c r="AF62" i="5" s="1"/>
  <c r="AD3" i="5"/>
  <c r="AB3" i="5"/>
  <c r="X3" i="5"/>
  <c r="V3" i="5"/>
  <c r="T3" i="5"/>
  <c r="R3" i="5"/>
  <c r="R62" i="5" s="1"/>
  <c r="P3" i="5"/>
  <c r="N3" i="5"/>
  <c r="H3" i="5"/>
  <c r="F3" i="5"/>
  <c r="D3" i="5"/>
  <c r="D62" i="5" s="1"/>
  <c r="AV66" i="4"/>
  <c r="AT66" i="4"/>
  <c r="AP66" i="4"/>
  <c r="AL66" i="4"/>
  <c r="AH66" i="4"/>
  <c r="AF66" i="4"/>
  <c r="Z66" i="4"/>
  <c r="R66" i="4"/>
  <c r="N66" i="4"/>
  <c r="J66" i="4"/>
  <c r="H66" i="4"/>
  <c r="AY64" i="4"/>
  <c r="AX64" i="4"/>
  <c r="AW64" i="4"/>
  <c r="AT63" i="4"/>
  <c r="AR63" i="4"/>
  <c r="AR66" i="4" s="1"/>
  <c r="AP63" i="4"/>
  <c r="AN63" i="4"/>
  <c r="AN66" i="4" s="1"/>
  <c r="AL63" i="4"/>
  <c r="AJ63" i="4"/>
  <c r="AJ66" i="4" s="1"/>
  <c r="AH63" i="4"/>
  <c r="AD63" i="4"/>
  <c r="AD66" i="4" s="1"/>
  <c r="AB63" i="4"/>
  <c r="AB66" i="4" s="1"/>
  <c r="Z63" i="4"/>
  <c r="X63" i="4"/>
  <c r="X66" i="4" s="1"/>
  <c r="V63" i="4"/>
  <c r="V66" i="4" s="1"/>
  <c r="T63" i="4"/>
  <c r="T66" i="4" s="1"/>
  <c r="P63" i="4"/>
  <c r="P66" i="4" s="1"/>
  <c r="N63" i="4"/>
  <c r="L63" i="4"/>
  <c r="L66" i="4" s="1"/>
  <c r="J63" i="4"/>
  <c r="F63" i="4"/>
  <c r="F66" i="4" s="1"/>
  <c r="D63" i="4"/>
  <c r="D66" i="4" s="1"/>
  <c r="AY60" i="4"/>
  <c r="AX60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J59" i="4"/>
  <c r="H59" i="4"/>
  <c r="F59" i="4"/>
  <c r="D59" i="4"/>
  <c r="AY58" i="4"/>
  <c r="AX58" i="4"/>
  <c r="AY57" i="4"/>
  <c r="AX57" i="4"/>
  <c r="AV56" i="4"/>
  <c r="AX56" i="4" s="1"/>
  <c r="AY56" i="4" s="1"/>
  <c r="AT56" i="4"/>
  <c r="AR56" i="4"/>
  <c r="AP56" i="4"/>
  <c r="AN56" i="4"/>
  <c r="AL56" i="4"/>
  <c r="AJ56" i="4"/>
  <c r="AH56" i="4"/>
  <c r="AF56" i="4"/>
  <c r="AD56" i="4"/>
  <c r="AB56" i="4"/>
  <c r="Z56" i="4"/>
  <c r="X56" i="4"/>
  <c r="V56" i="4"/>
  <c r="T56" i="4"/>
  <c r="R56" i="4"/>
  <c r="P56" i="4"/>
  <c r="N56" i="4"/>
  <c r="L56" i="4"/>
  <c r="J56" i="4"/>
  <c r="H56" i="4"/>
  <c r="F56" i="4"/>
  <c r="D56" i="4"/>
  <c r="AX55" i="4"/>
  <c r="AY55" i="4" s="1"/>
  <c r="AX54" i="4"/>
  <c r="AY54" i="4" s="1"/>
  <c r="AX53" i="4"/>
  <c r="AY53" i="4" s="1"/>
  <c r="AX52" i="4"/>
  <c r="AY52" i="4" s="1"/>
  <c r="AX51" i="4"/>
  <c r="AY51" i="4" s="1"/>
  <c r="AX50" i="4"/>
  <c r="AY50" i="4" s="1"/>
  <c r="AX49" i="4"/>
  <c r="AY49" i="4" s="1"/>
  <c r="AX48" i="4"/>
  <c r="AY48" i="4" s="1"/>
  <c r="AV47" i="4"/>
  <c r="AT47" i="4"/>
  <c r="AR47" i="4"/>
  <c r="AP47" i="4"/>
  <c r="AN47" i="4"/>
  <c r="AL47" i="4"/>
  <c r="AL61" i="4" s="1"/>
  <c r="AJ47" i="4"/>
  <c r="AH47" i="4"/>
  <c r="AF47" i="4"/>
  <c r="AD47" i="4"/>
  <c r="AB47" i="4"/>
  <c r="Z47" i="4"/>
  <c r="X47" i="4"/>
  <c r="V47" i="4"/>
  <c r="T47" i="4"/>
  <c r="R47" i="4"/>
  <c r="P47" i="4"/>
  <c r="N47" i="4"/>
  <c r="L47" i="4"/>
  <c r="J47" i="4"/>
  <c r="H47" i="4"/>
  <c r="F47" i="4"/>
  <c r="D47" i="4"/>
  <c r="AY46" i="4"/>
  <c r="AX46" i="4"/>
  <c r="AY45" i="4"/>
  <c r="AX45" i="4"/>
  <c r="AY44" i="4"/>
  <c r="AX44" i="4"/>
  <c r="AY43" i="4"/>
  <c r="AX43" i="4"/>
  <c r="AY42" i="4"/>
  <c r="AX42" i="4"/>
  <c r="AY41" i="4"/>
  <c r="AX41" i="4"/>
  <c r="AY40" i="4"/>
  <c r="AX40" i="4"/>
  <c r="AY39" i="4"/>
  <c r="AX39" i="4"/>
  <c r="AY38" i="4"/>
  <c r="AX38" i="4"/>
  <c r="AY37" i="4"/>
  <c r="AX37" i="4"/>
  <c r="AY36" i="4"/>
  <c r="AX36" i="4"/>
  <c r="AY35" i="4"/>
  <c r="AX35" i="4"/>
  <c r="N34" i="4"/>
  <c r="D34" i="4"/>
  <c r="AY33" i="4"/>
  <c r="AX33" i="4"/>
  <c r="AY32" i="4"/>
  <c r="AX32" i="4"/>
  <c r="AY31" i="4"/>
  <c r="AX31" i="4"/>
  <c r="AV30" i="4"/>
  <c r="AT30" i="4"/>
  <c r="AR30" i="4"/>
  <c r="AP30" i="4"/>
  <c r="AN30" i="4"/>
  <c r="AL30" i="4"/>
  <c r="AJ30" i="4"/>
  <c r="AH30" i="4"/>
  <c r="AF30" i="4"/>
  <c r="AD30" i="4"/>
  <c r="AB30" i="4"/>
  <c r="Z30" i="4"/>
  <c r="X30" i="4"/>
  <c r="V30" i="4"/>
  <c r="T30" i="4"/>
  <c r="R30" i="4"/>
  <c r="P30" i="4"/>
  <c r="L30" i="4"/>
  <c r="J30" i="4"/>
  <c r="H30" i="4"/>
  <c r="F30" i="4"/>
  <c r="D30" i="4"/>
  <c r="AX10" i="4" s="1"/>
  <c r="AY10" i="4" s="1"/>
  <c r="AX29" i="4"/>
  <c r="AY29" i="4" s="1"/>
  <c r="AX28" i="4"/>
  <c r="AY28" i="4" s="1"/>
  <c r="AX27" i="4"/>
  <c r="AY27" i="4" s="1"/>
  <c r="AX26" i="4"/>
  <c r="AY26" i="4" s="1"/>
  <c r="AX25" i="4"/>
  <c r="AY25" i="4" s="1"/>
  <c r="AP24" i="4"/>
  <c r="AB24" i="4"/>
  <c r="Z24" i="4"/>
  <c r="V24" i="4"/>
  <c r="AX24" i="4" s="1"/>
  <c r="AY24" i="4" s="1"/>
  <c r="AX23" i="4"/>
  <c r="AY23" i="4" s="1"/>
  <c r="AX22" i="4"/>
  <c r="AY22" i="4" s="1"/>
  <c r="AP22" i="4"/>
  <c r="AO22" i="4"/>
  <c r="AX21" i="4"/>
  <c r="AY21" i="4" s="1"/>
  <c r="J21" i="4"/>
  <c r="AR20" i="4"/>
  <c r="AN20" i="4"/>
  <c r="AH20" i="4"/>
  <c r="AB20" i="4"/>
  <c r="V20" i="4"/>
  <c r="AL19" i="4"/>
  <c r="AH19" i="4"/>
  <c r="AX19" i="4" s="1"/>
  <c r="AY19" i="4" s="1"/>
  <c r="AB19" i="4"/>
  <c r="Z19" i="4"/>
  <c r="Y19" i="4"/>
  <c r="AJ18" i="4"/>
  <c r="AX18" i="4" s="1"/>
  <c r="AY18" i="4" s="1"/>
  <c r="AH18" i="4"/>
  <c r="AD18" i="4"/>
  <c r="AD3" i="4" s="1"/>
  <c r="AD61" i="4" s="1"/>
  <c r="AB18" i="4"/>
  <c r="AY17" i="4"/>
  <c r="AX17" i="4"/>
  <c r="AY16" i="4"/>
  <c r="AX16" i="4"/>
  <c r="AY15" i="4"/>
  <c r="AX15" i="4"/>
  <c r="AY14" i="4"/>
  <c r="AX14" i="4"/>
  <c r="AY13" i="4"/>
  <c r="AX13" i="4"/>
  <c r="AY12" i="4"/>
  <c r="AX12" i="4"/>
  <c r="AY11" i="4"/>
  <c r="AX11" i="4"/>
  <c r="AY9" i="4"/>
  <c r="AX9" i="4"/>
  <c r="AY8" i="4"/>
  <c r="AX8" i="4"/>
  <c r="AY7" i="4"/>
  <c r="AX7" i="4"/>
  <c r="P6" i="4"/>
  <c r="O6" i="4"/>
  <c r="F6" i="4"/>
  <c r="F3" i="4" s="1"/>
  <c r="F61" i="4" s="1"/>
  <c r="AP5" i="4"/>
  <c r="AO5" i="4"/>
  <c r="AL5" i="4"/>
  <c r="AK5" i="4"/>
  <c r="AJ5" i="4"/>
  <c r="AI5" i="4"/>
  <c r="AD5" i="4"/>
  <c r="AC5" i="4"/>
  <c r="Z5" i="4"/>
  <c r="Y5" i="4"/>
  <c r="X5" i="4"/>
  <c r="V5" i="4"/>
  <c r="AX5" i="4" s="1"/>
  <c r="AY5" i="4" s="1"/>
  <c r="U5" i="4"/>
  <c r="T5" i="4"/>
  <c r="T3" i="4" s="1"/>
  <c r="P5" i="4"/>
  <c r="O5" i="4"/>
  <c r="L5" i="4"/>
  <c r="K5" i="4"/>
  <c r="F5" i="4"/>
  <c r="E5" i="4"/>
  <c r="AX4" i="4"/>
  <c r="AY4" i="4" s="1"/>
  <c r="AP4" i="4"/>
  <c r="AO4" i="4"/>
  <c r="AL4" i="4"/>
  <c r="AK4" i="4"/>
  <c r="AJ4" i="4"/>
  <c r="AI4" i="4"/>
  <c r="AD4" i="4"/>
  <c r="AC4" i="4"/>
  <c r="Z4" i="4"/>
  <c r="Y4" i="4"/>
  <c r="V4" i="4"/>
  <c r="U4" i="4"/>
  <c r="P4" i="4"/>
  <c r="O4" i="4"/>
  <c r="L4" i="4"/>
  <c r="K4" i="4"/>
  <c r="F4" i="4"/>
  <c r="E4" i="4"/>
  <c r="AV3" i="4"/>
  <c r="AV61" i="4" s="1"/>
  <c r="AT3" i="4"/>
  <c r="AP3" i="4"/>
  <c r="AP61" i="4" s="1"/>
  <c r="AN3" i="4"/>
  <c r="AN61" i="4" s="1"/>
  <c r="AL3" i="4"/>
  <c r="AF3" i="4"/>
  <c r="AF61" i="4" s="1"/>
  <c r="AB3" i="4"/>
  <c r="AB61" i="4" s="1"/>
  <c r="Z3" i="4"/>
  <c r="Z61" i="4" s="1"/>
  <c r="X3" i="4"/>
  <c r="X61" i="4" s="1"/>
  <c r="R3" i="4"/>
  <c r="R61" i="4" s="1"/>
  <c r="N3" i="4"/>
  <c r="L3" i="4"/>
  <c r="J3" i="4"/>
  <c r="H3" i="4"/>
  <c r="H61" i="4" s="1"/>
  <c r="D3" i="4"/>
  <c r="D61" i="4" s="1"/>
  <c r="AV66" i="3"/>
  <c r="AT66" i="3"/>
  <c r="AR66" i="3"/>
  <c r="AP66" i="3"/>
  <c r="AN66" i="3"/>
  <c r="AL66" i="3"/>
  <c r="AJ66" i="3"/>
  <c r="AF66" i="3"/>
  <c r="AB66" i="3"/>
  <c r="Z66" i="3"/>
  <c r="X66" i="3"/>
  <c r="T66" i="3"/>
  <c r="P66" i="3"/>
  <c r="L66" i="3"/>
  <c r="J66" i="3"/>
  <c r="H66" i="3"/>
  <c r="F66" i="3"/>
  <c r="D66" i="3"/>
  <c r="AX64" i="3"/>
  <c r="AY64" i="3" s="1"/>
  <c r="AW64" i="3"/>
  <c r="AH63" i="3"/>
  <c r="AH66" i="3" s="1"/>
  <c r="AF63" i="3"/>
  <c r="AD63" i="3"/>
  <c r="AD66" i="3" s="1"/>
  <c r="AB63" i="3"/>
  <c r="V63" i="3"/>
  <c r="V66" i="3" s="1"/>
  <c r="T63" i="3"/>
  <c r="R63" i="3"/>
  <c r="R66" i="3" s="1"/>
  <c r="P63" i="3"/>
  <c r="N63" i="3"/>
  <c r="N66" i="3" s="1"/>
  <c r="L63" i="3"/>
  <c r="AX63" i="3" s="1"/>
  <c r="AX66" i="3" s="1"/>
  <c r="AR61" i="3"/>
  <c r="AJ61" i="3"/>
  <c r="T61" i="3"/>
  <c r="L61" i="3"/>
  <c r="D61" i="3"/>
  <c r="AX60" i="3"/>
  <c r="AY60" i="3" s="1"/>
  <c r="AV59" i="3"/>
  <c r="AT59" i="3"/>
  <c r="AR59" i="3"/>
  <c r="AP59" i="3"/>
  <c r="AN59" i="3"/>
  <c r="AL59" i="3"/>
  <c r="AJ59" i="3"/>
  <c r="AH59" i="3"/>
  <c r="AF59" i="3"/>
  <c r="AD59" i="3"/>
  <c r="AB59" i="3"/>
  <c r="Z59" i="3"/>
  <c r="X59" i="3"/>
  <c r="V59" i="3"/>
  <c r="T59" i="3"/>
  <c r="R59" i="3"/>
  <c r="P59" i="3"/>
  <c r="N59" i="3"/>
  <c r="J59" i="3"/>
  <c r="H59" i="3"/>
  <c r="F59" i="3"/>
  <c r="D59" i="3"/>
  <c r="AX58" i="3"/>
  <c r="AY58" i="3" s="1"/>
  <c r="H58" i="3"/>
  <c r="H57" i="3"/>
  <c r="AX57" i="3" s="1"/>
  <c r="AY57" i="3" s="1"/>
  <c r="AV56" i="3"/>
  <c r="AT56" i="3"/>
  <c r="AR56" i="3"/>
  <c r="AP56" i="3"/>
  <c r="AN56" i="3"/>
  <c r="AL56" i="3"/>
  <c r="AJ56" i="3"/>
  <c r="AH56" i="3"/>
  <c r="AF56" i="3"/>
  <c r="AD56" i="3"/>
  <c r="AB56" i="3"/>
  <c r="Z56" i="3"/>
  <c r="X56" i="3"/>
  <c r="V56" i="3"/>
  <c r="T56" i="3"/>
  <c r="R56" i="3"/>
  <c r="P56" i="3"/>
  <c r="N56" i="3"/>
  <c r="L56" i="3"/>
  <c r="J56" i="3"/>
  <c r="F56" i="3"/>
  <c r="D56" i="3"/>
  <c r="AY55" i="3"/>
  <c r="AX55" i="3"/>
  <c r="AY54" i="3"/>
  <c r="AX54" i="3"/>
  <c r="AY53" i="3"/>
  <c r="AX53" i="3"/>
  <c r="H53" i="3"/>
  <c r="H47" i="3" s="1"/>
  <c r="AX52" i="3"/>
  <c r="AY52" i="3" s="1"/>
  <c r="AX51" i="3"/>
  <c r="AY51" i="3" s="1"/>
  <c r="H51" i="3"/>
  <c r="AF50" i="3"/>
  <c r="AX49" i="3"/>
  <c r="AY49" i="3" s="1"/>
  <c r="AX48" i="3"/>
  <c r="AY48" i="3" s="1"/>
  <c r="AV47" i="3"/>
  <c r="AT47" i="3"/>
  <c r="AR47" i="3"/>
  <c r="AP47" i="3"/>
  <c r="AN47" i="3"/>
  <c r="AL47" i="3"/>
  <c r="AJ47" i="3"/>
  <c r="AH47" i="3"/>
  <c r="AD47" i="3"/>
  <c r="AB47" i="3"/>
  <c r="Z47" i="3"/>
  <c r="X47" i="3"/>
  <c r="V47" i="3"/>
  <c r="T47" i="3"/>
  <c r="R47" i="3"/>
  <c r="P47" i="3"/>
  <c r="N47" i="3"/>
  <c r="L47" i="3"/>
  <c r="J47" i="3"/>
  <c r="F47" i="3"/>
  <c r="D47" i="3"/>
  <c r="AY46" i="3"/>
  <c r="AX46" i="3"/>
  <c r="AY45" i="3"/>
  <c r="AX45" i="3"/>
  <c r="H45" i="3"/>
  <c r="AX44" i="3"/>
  <c r="AY44" i="3" s="1"/>
  <c r="AX43" i="3"/>
  <c r="AY43" i="3" s="1"/>
  <c r="AX42" i="3"/>
  <c r="AY42" i="3" s="1"/>
  <c r="AX41" i="3"/>
  <c r="AY41" i="3" s="1"/>
  <c r="AX40" i="3"/>
  <c r="AY40" i="3" s="1"/>
  <c r="H40" i="3"/>
  <c r="AY39" i="3"/>
  <c r="AX39" i="3"/>
  <c r="AY38" i="3"/>
  <c r="AX38" i="3"/>
  <c r="AY37" i="3"/>
  <c r="AX37" i="3"/>
  <c r="AY36" i="3"/>
  <c r="AX36" i="3"/>
  <c r="AY35" i="3"/>
  <c r="AX35" i="3"/>
  <c r="AY34" i="3"/>
  <c r="AF34" i="3"/>
  <c r="AX34" i="3" s="1"/>
  <c r="AX33" i="3"/>
  <c r="AY33" i="3" s="1"/>
  <c r="AX32" i="3"/>
  <c r="AY32" i="3" s="1"/>
  <c r="H32" i="3"/>
  <c r="AY31" i="3"/>
  <c r="AX31" i="3"/>
  <c r="AV30" i="3"/>
  <c r="AT30" i="3"/>
  <c r="AR30" i="3"/>
  <c r="AP30" i="3"/>
  <c r="AN30" i="3"/>
  <c r="AL30" i="3"/>
  <c r="AJ30" i="3"/>
  <c r="AH30" i="3"/>
  <c r="AF30" i="3"/>
  <c r="AD30" i="3"/>
  <c r="AB30" i="3"/>
  <c r="Z30" i="3"/>
  <c r="X30" i="3"/>
  <c r="V30" i="3"/>
  <c r="T30" i="3"/>
  <c r="R30" i="3"/>
  <c r="P30" i="3"/>
  <c r="N30" i="3"/>
  <c r="L30" i="3"/>
  <c r="J30" i="3"/>
  <c r="H30" i="3"/>
  <c r="F30" i="3"/>
  <c r="D30" i="3"/>
  <c r="AX29" i="3"/>
  <c r="AY29" i="3" s="1"/>
  <c r="AX28" i="3"/>
  <c r="AY28" i="3" s="1"/>
  <c r="AX27" i="3"/>
  <c r="AY27" i="3" s="1"/>
  <c r="AX26" i="3"/>
  <c r="AY26" i="3" s="1"/>
  <c r="AX25" i="3"/>
  <c r="AY25" i="3" s="1"/>
  <c r="AX24" i="3"/>
  <c r="AY24" i="3" s="1"/>
  <c r="AX23" i="3"/>
  <c r="AY23" i="3" s="1"/>
  <c r="AX22" i="3"/>
  <c r="AY22" i="3" s="1"/>
  <c r="AF21" i="3"/>
  <c r="AB21" i="3"/>
  <c r="AB3" i="3" s="1"/>
  <c r="AB61" i="3" s="1"/>
  <c r="L21" i="3"/>
  <c r="H21" i="3"/>
  <c r="AX21" i="3" s="1"/>
  <c r="AY21" i="3" s="1"/>
  <c r="AX20" i="3"/>
  <c r="AY20" i="3" s="1"/>
  <c r="AX19" i="3"/>
  <c r="AY19" i="3" s="1"/>
  <c r="AX18" i="3"/>
  <c r="AY18" i="3" s="1"/>
  <c r="AX17" i="3"/>
  <c r="AY17" i="3" s="1"/>
  <c r="AX16" i="3"/>
  <c r="AY16" i="3" s="1"/>
  <c r="AX15" i="3"/>
  <c r="AY15" i="3" s="1"/>
  <c r="AX14" i="3"/>
  <c r="AY14" i="3" s="1"/>
  <c r="AX13" i="3"/>
  <c r="AY13" i="3" s="1"/>
  <c r="AX12" i="3"/>
  <c r="AY12" i="3" s="1"/>
  <c r="AX11" i="3"/>
  <c r="AY11" i="3" s="1"/>
  <c r="AH11" i="3"/>
  <c r="AG11" i="3"/>
  <c r="AD11" i="3"/>
  <c r="AC11" i="3"/>
  <c r="V11" i="3"/>
  <c r="U11" i="3"/>
  <c r="R11" i="3"/>
  <c r="Q11" i="3"/>
  <c r="N11" i="3"/>
  <c r="M11" i="3"/>
  <c r="H11" i="3"/>
  <c r="AY10" i="3"/>
  <c r="AX10" i="3"/>
  <c r="AY9" i="3"/>
  <c r="AX9" i="3"/>
  <c r="AY8" i="3"/>
  <c r="AX8" i="3"/>
  <c r="H7" i="3"/>
  <c r="AX7" i="3" s="1"/>
  <c r="AY7" i="3" s="1"/>
  <c r="AX6" i="3"/>
  <c r="AY6" i="3" s="1"/>
  <c r="N6" i="3"/>
  <c r="AH5" i="3"/>
  <c r="AG5" i="3"/>
  <c r="AD5" i="3"/>
  <c r="AD3" i="3" s="1"/>
  <c r="AD61" i="3" s="1"/>
  <c r="AC5" i="3"/>
  <c r="V5" i="3"/>
  <c r="U5" i="3"/>
  <c r="R5" i="3"/>
  <c r="R3" i="3" s="1"/>
  <c r="R61" i="3" s="1"/>
  <c r="Q5" i="3"/>
  <c r="N5" i="3"/>
  <c r="M5" i="3"/>
  <c r="J5" i="3"/>
  <c r="J3" i="3" s="1"/>
  <c r="J61" i="3" s="1"/>
  <c r="I5" i="3"/>
  <c r="H5" i="3"/>
  <c r="F5" i="3"/>
  <c r="E5" i="3"/>
  <c r="AH4" i="3"/>
  <c r="AG4" i="3"/>
  <c r="AD4" i="3"/>
  <c r="AC4" i="3"/>
  <c r="V4" i="3"/>
  <c r="U4" i="3"/>
  <c r="R4" i="3"/>
  <c r="Q4" i="3"/>
  <c r="N4" i="3"/>
  <c r="M4" i="3"/>
  <c r="L4" i="3"/>
  <c r="J4" i="3"/>
  <c r="AX4" i="3" s="1"/>
  <c r="AY4" i="3" s="1"/>
  <c r="I4" i="3"/>
  <c r="H4" i="3"/>
  <c r="H3" i="3" s="1"/>
  <c r="F4" i="3"/>
  <c r="E4" i="3"/>
  <c r="AV3" i="3"/>
  <c r="AT3" i="3"/>
  <c r="AR3" i="3"/>
  <c r="AP3" i="3"/>
  <c r="AP61" i="3" s="1"/>
  <c r="AN3" i="3"/>
  <c r="AL3" i="3"/>
  <c r="AJ3" i="3"/>
  <c r="AH3" i="3"/>
  <c r="AH61" i="3" s="1"/>
  <c r="AF3" i="3"/>
  <c r="Z3" i="3"/>
  <c r="Z61" i="3" s="1"/>
  <c r="X3" i="3"/>
  <c r="X61" i="3" s="1"/>
  <c r="V3" i="3"/>
  <c r="T3" i="3"/>
  <c r="P3" i="3"/>
  <c r="P61" i="3" s="1"/>
  <c r="N3" i="3"/>
  <c r="L3" i="3"/>
  <c r="F3" i="3"/>
  <c r="F61" i="3" s="1"/>
  <c r="D3" i="3"/>
  <c r="AT64" i="2"/>
  <c r="AR64" i="2"/>
  <c r="AP64" i="2"/>
  <c r="AN64" i="2"/>
  <c r="AL64" i="2"/>
  <c r="AJ64" i="2"/>
  <c r="AH64" i="2"/>
  <c r="AF64" i="2"/>
  <c r="AD64" i="2"/>
  <c r="AB64" i="2"/>
  <c r="Z64" i="2"/>
  <c r="X64" i="2"/>
  <c r="V64" i="2"/>
  <c r="T64" i="2"/>
  <c r="R64" i="2"/>
  <c r="N64" i="2"/>
  <c r="L64" i="2"/>
  <c r="J64" i="2"/>
  <c r="H64" i="2"/>
  <c r="F64" i="2"/>
  <c r="D64" i="2"/>
  <c r="AW62" i="2"/>
  <c r="AV62" i="2"/>
  <c r="AU62" i="2"/>
  <c r="AV61" i="2"/>
  <c r="AJ61" i="2"/>
  <c r="P61" i="2"/>
  <c r="P64" i="2" s="1"/>
  <c r="AF59" i="2"/>
  <c r="AV58" i="2"/>
  <c r="AW58" i="2" s="1"/>
  <c r="AT57" i="2"/>
  <c r="AR57" i="2"/>
  <c r="AP57" i="2"/>
  <c r="AN57" i="2"/>
  <c r="AL57" i="2"/>
  <c r="AJ57" i="2"/>
  <c r="AH57" i="2"/>
  <c r="AF57" i="2"/>
  <c r="AD57" i="2"/>
  <c r="AB57" i="2"/>
  <c r="Z57" i="2"/>
  <c r="X57" i="2"/>
  <c r="V57" i="2"/>
  <c r="T57" i="2"/>
  <c r="R57" i="2"/>
  <c r="P57" i="2"/>
  <c r="N57" i="2"/>
  <c r="L57" i="2"/>
  <c r="J57" i="2"/>
  <c r="H57" i="2"/>
  <c r="F57" i="2"/>
  <c r="D57" i="2"/>
  <c r="AV56" i="2"/>
  <c r="AW56" i="2" s="1"/>
  <c r="AV55" i="2"/>
  <c r="AW55" i="2" s="1"/>
  <c r="AT54" i="2"/>
  <c r="AR54" i="2"/>
  <c r="AP54" i="2"/>
  <c r="AN54" i="2"/>
  <c r="AL54" i="2"/>
  <c r="AJ54" i="2"/>
  <c r="AH54" i="2"/>
  <c r="AF54" i="2"/>
  <c r="AD54" i="2"/>
  <c r="AB54" i="2"/>
  <c r="Z54" i="2"/>
  <c r="X54" i="2"/>
  <c r="V54" i="2"/>
  <c r="T54" i="2"/>
  <c r="R54" i="2"/>
  <c r="P54" i="2"/>
  <c r="N54" i="2"/>
  <c r="L54" i="2"/>
  <c r="J54" i="2"/>
  <c r="H54" i="2"/>
  <c r="F54" i="2"/>
  <c r="D54" i="2"/>
  <c r="AV53" i="2"/>
  <c r="AW53" i="2" s="1"/>
  <c r="AV52" i="2"/>
  <c r="AW52" i="2" s="1"/>
  <c r="AV51" i="2"/>
  <c r="AW51" i="2" s="1"/>
  <c r="AV50" i="2"/>
  <c r="AW50" i="2" s="1"/>
  <c r="AV49" i="2"/>
  <c r="AW49" i="2" s="1"/>
  <c r="AV48" i="2"/>
  <c r="AW48" i="2" s="1"/>
  <c r="AV47" i="2"/>
  <c r="AW47" i="2" s="1"/>
  <c r="AV46" i="2"/>
  <c r="AW46" i="2" s="1"/>
  <c r="AT45" i="2"/>
  <c r="AR45" i="2"/>
  <c r="AP45" i="2"/>
  <c r="AN45" i="2"/>
  <c r="AV45" i="2" s="1"/>
  <c r="AW45" i="2" s="1"/>
  <c r="AL45" i="2"/>
  <c r="AJ45" i="2"/>
  <c r="AH45" i="2"/>
  <c r="AF45" i="2"/>
  <c r="AD45" i="2"/>
  <c r="AB45" i="2"/>
  <c r="Z45" i="2"/>
  <c r="X45" i="2"/>
  <c r="V45" i="2"/>
  <c r="T45" i="2"/>
  <c r="R45" i="2"/>
  <c r="P45" i="2"/>
  <c r="N45" i="2"/>
  <c r="L45" i="2"/>
  <c r="J45" i="2"/>
  <c r="H45" i="2"/>
  <c r="H59" i="2" s="1"/>
  <c r="F45" i="2"/>
  <c r="D45" i="2"/>
  <c r="AV44" i="2"/>
  <c r="AW44" i="2" s="1"/>
  <c r="AV43" i="2"/>
  <c r="AW43" i="2" s="1"/>
  <c r="AV42" i="2"/>
  <c r="AW42" i="2" s="1"/>
  <c r="AV41" i="2"/>
  <c r="AW41" i="2" s="1"/>
  <c r="AV40" i="2"/>
  <c r="AW40" i="2" s="1"/>
  <c r="AV39" i="2"/>
  <c r="AW39" i="2" s="1"/>
  <c r="AV38" i="2"/>
  <c r="AW38" i="2" s="1"/>
  <c r="AV37" i="2"/>
  <c r="AW37" i="2" s="1"/>
  <c r="AV36" i="2"/>
  <c r="AW36" i="2" s="1"/>
  <c r="AV35" i="2"/>
  <c r="AW35" i="2" s="1"/>
  <c r="AV34" i="2"/>
  <c r="AW34" i="2" s="1"/>
  <c r="AV33" i="2"/>
  <c r="AW33" i="2" s="1"/>
  <c r="AV32" i="2"/>
  <c r="AW32" i="2" s="1"/>
  <c r="AV31" i="2"/>
  <c r="AW31" i="2" s="1"/>
  <c r="AV30" i="2"/>
  <c r="AW30" i="2" s="1"/>
  <c r="AT29" i="2"/>
  <c r="AR29" i="2"/>
  <c r="AV29" i="2" s="1"/>
  <c r="AW29" i="2" s="1"/>
  <c r="AP29" i="2"/>
  <c r="AN29" i="2"/>
  <c r="AL29" i="2"/>
  <c r="AJ29" i="2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D29" i="2"/>
  <c r="AV28" i="2"/>
  <c r="AW28" i="2" s="1"/>
  <c r="AV27" i="2"/>
  <c r="AW27" i="2" s="1"/>
  <c r="AV26" i="2"/>
  <c r="AW26" i="2" s="1"/>
  <c r="AV25" i="2"/>
  <c r="AW25" i="2" s="1"/>
  <c r="AV24" i="2"/>
  <c r="AW24" i="2" s="1"/>
  <c r="AV23" i="2"/>
  <c r="AW23" i="2" s="1"/>
  <c r="AV22" i="2"/>
  <c r="AW22" i="2" s="1"/>
  <c r="AL22" i="2"/>
  <c r="AW21" i="2"/>
  <c r="AV21" i="2"/>
  <c r="AW20" i="2"/>
  <c r="AV20" i="2"/>
  <c r="AW19" i="2"/>
  <c r="AV19" i="2"/>
  <c r="AW18" i="2"/>
  <c r="AV18" i="2"/>
  <c r="AW17" i="2"/>
  <c r="AV17" i="2"/>
  <c r="AW16" i="2"/>
  <c r="AV16" i="2"/>
  <c r="AW15" i="2"/>
  <c r="Z15" i="2"/>
  <c r="AV15" i="2" s="1"/>
  <c r="Y15" i="2"/>
  <c r="AJ14" i="2"/>
  <c r="AV14" i="2" s="1"/>
  <c r="AW14" i="2" s="1"/>
  <c r="AI14" i="2"/>
  <c r="Z14" i="2"/>
  <c r="Z3" i="2" s="1"/>
  <c r="Z59" i="2" s="1"/>
  <c r="Y14" i="2"/>
  <c r="P14" i="2"/>
  <c r="P3" i="2" s="1"/>
  <c r="P59" i="2" s="1"/>
  <c r="AV13" i="2"/>
  <c r="AW13" i="2" s="1"/>
  <c r="AV12" i="2"/>
  <c r="AW12" i="2" s="1"/>
  <c r="AV11" i="2"/>
  <c r="AW11" i="2" s="1"/>
  <c r="AV10" i="2"/>
  <c r="AW10" i="2" s="1"/>
  <c r="AV9" i="2"/>
  <c r="AW9" i="2" s="1"/>
  <c r="AV8" i="2"/>
  <c r="AW8" i="2" s="1"/>
  <c r="AV7" i="2"/>
  <c r="AW7" i="2" s="1"/>
  <c r="AV6" i="2"/>
  <c r="AW6" i="2" s="1"/>
  <c r="J6" i="2"/>
  <c r="I6" i="2"/>
  <c r="AV5" i="2"/>
  <c r="AW5" i="2" s="1"/>
  <c r="AT5" i="2"/>
  <c r="AS5" i="2"/>
  <c r="AN5" i="2"/>
  <c r="AM5" i="2"/>
  <c r="AJ5" i="2"/>
  <c r="AI5" i="2"/>
  <c r="Z5" i="2"/>
  <c r="Y5" i="2"/>
  <c r="T5" i="2"/>
  <c r="S5" i="2"/>
  <c r="P5" i="2"/>
  <c r="O5" i="2"/>
  <c r="J5" i="2"/>
  <c r="I5" i="2"/>
  <c r="AV4" i="2"/>
  <c r="AW4" i="2" s="1"/>
  <c r="AT4" i="2"/>
  <c r="AS4" i="2"/>
  <c r="AN4" i="2"/>
  <c r="AM4" i="2"/>
  <c r="Z4" i="2"/>
  <c r="Y4" i="2"/>
  <c r="T4" i="2"/>
  <c r="S4" i="2"/>
  <c r="P4" i="2"/>
  <c r="O4" i="2"/>
  <c r="J4" i="2"/>
  <c r="I4" i="2"/>
  <c r="AT3" i="2"/>
  <c r="AT59" i="2" s="1"/>
  <c r="AR3" i="2"/>
  <c r="AP3" i="2"/>
  <c r="AP59" i="2" s="1"/>
  <c r="AN3" i="2"/>
  <c r="AL3" i="2"/>
  <c r="AL59" i="2" s="1"/>
  <c r="AH3" i="2"/>
  <c r="AH59" i="2" s="1"/>
  <c r="AF3" i="2"/>
  <c r="AD3" i="2"/>
  <c r="AD59" i="2" s="1"/>
  <c r="AB3" i="2"/>
  <c r="X3" i="2"/>
  <c r="X59" i="2" s="1"/>
  <c r="V3" i="2"/>
  <c r="V59" i="2" s="1"/>
  <c r="T3" i="2"/>
  <c r="T59" i="2" s="1"/>
  <c r="R3" i="2"/>
  <c r="R59" i="2" s="1"/>
  <c r="N3" i="2"/>
  <c r="N59" i="2" s="1"/>
  <c r="L3" i="2"/>
  <c r="L59" i="2" s="1"/>
  <c r="J3" i="2"/>
  <c r="J59" i="2" s="1"/>
  <c r="H3" i="2"/>
  <c r="F3" i="2"/>
  <c r="F59" i="2" s="1"/>
  <c r="D3" i="2"/>
  <c r="D59" i="2" s="1"/>
  <c r="AN53" i="1"/>
  <c r="AL53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D53" i="1"/>
  <c r="AP52" i="1"/>
  <c r="AP51" i="1"/>
  <c r="AP50" i="1"/>
  <c r="AN48" i="1"/>
  <c r="AF48" i="1"/>
  <c r="X48" i="1"/>
  <c r="AP47" i="1"/>
  <c r="AQ47" i="1" s="1"/>
  <c r="AN46" i="1"/>
  <c r="AP46" i="1" s="1"/>
  <c r="AQ46" i="1" s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AP45" i="1"/>
  <c r="AQ45" i="1" s="1"/>
  <c r="AP44" i="1"/>
  <c r="AQ44" i="1" s="1"/>
  <c r="AN43" i="1"/>
  <c r="AP43" i="1" s="1"/>
  <c r="AQ43" i="1" s="1"/>
  <c r="AJ43" i="1"/>
  <c r="AH43" i="1"/>
  <c r="AF43" i="1"/>
  <c r="AD43" i="1"/>
  <c r="Z43" i="1"/>
  <c r="V43" i="1"/>
  <c r="T43" i="1"/>
  <c r="R43" i="1"/>
  <c r="P43" i="1"/>
  <c r="N43" i="1"/>
  <c r="L43" i="1"/>
  <c r="J43" i="1"/>
  <c r="H43" i="1"/>
  <c r="F43" i="1"/>
  <c r="D43" i="1"/>
  <c r="AP42" i="1"/>
  <c r="AQ42" i="1" s="1"/>
  <c r="AP41" i="1"/>
  <c r="AQ41" i="1" s="1"/>
  <c r="AP40" i="1"/>
  <c r="AQ40" i="1" s="1"/>
  <c r="AP39" i="1"/>
  <c r="AQ39" i="1" s="1"/>
  <c r="AP38" i="1"/>
  <c r="AQ38" i="1" s="1"/>
  <c r="AP37" i="1"/>
  <c r="AQ37" i="1" s="1"/>
  <c r="AP36" i="1"/>
  <c r="AQ36" i="1" s="1"/>
  <c r="AN35" i="1"/>
  <c r="AP35" i="1" s="1"/>
  <c r="AQ35" i="1" s="1"/>
  <c r="AL35" i="1"/>
  <c r="AH35" i="1"/>
  <c r="AD35" i="1"/>
  <c r="AB35" i="1"/>
  <c r="V35" i="1"/>
  <c r="T35" i="1"/>
  <c r="R35" i="1"/>
  <c r="P35" i="1"/>
  <c r="P48" i="1" s="1"/>
  <c r="N35" i="1"/>
  <c r="L35" i="1"/>
  <c r="J35" i="1"/>
  <c r="H35" i="1"/>
  <c r="F35" i="1"/>
  <c r="F48" i="1" s="1"/>
  <c r="D35" i="1"/>
  <c r="AP34" i="1"/>
  <c r="AQ34" i="1" s="1"/>
  <c r="AQ33" i="1"/>
  <c r="AP33" i="1"/>
  <c r="AP32" i="1"/>
  <c r="AQ32" i="1" s="1"/>
  <c r="AQ31" i="1"/>
  <c r="AP31" i="1"/>
  <c r="AP30" i="1"/>
  <c r="AQ30" i="1" s="1"/>
  <c r="AQ29" i="1"/>
  <c r="AP29" i="1"/>
  <c r="AP28" i="1"/>
  <c r="AQ28" i="1" s="1"/>
  <c r="AQ27" i="1"/>
  <c r="AP27" i="1"/>
  <c r="AP26" i="1"/>
  <c r="AQ26" i="1" s="1"/>
  <c r="AQ25" i="1"/>
  <c r="AP25" i="1"/>
  <c r="AP24" i="1"/>
  <c r="AQ24" i="1" s="1"/>
  <c r="AN23" i="1"/>
  <c r="AP23" i="1" s="1"/>
  <c r="AQ23" i="1" s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AP22" i="1"/>
  <c r="AQ22" i="1" s="1"/>
  <c r="AP21" i="1"/>
  <c r="AQ21" i="1" s="1"/>
  <c r="AP20" i="1"/>
  <c r="AQ20" i="1" s="1"/>
  <c r="AP19" i="1"/>
  <c r="AQ19" i="1" s="1"/>
  <c r="AP18" i="1"/>
  <c r="AQ18" i="1" s="1"/>
  <c r="AP17" i="1"/>
  <c r="AQ17" i="1" s="1"/>
  <c r="AP16" i="1"/>
  <c r="AQ16" i="1" s="1"/>
  <c r="AP15" i="1"/>
  <c r="AQ15" i="1" s="1"/>
  <c r="AP14" i="1"/>
  <c r="AQ14" i="1" s="1"/>
  <c r="AP13" i="1"/>
  <c r="AQ13" i="1" s="1"/>
  <c r="AP12" i="1"/>
  <c r="AQ12" i="1" s="1"/>
  <c r="AP11" i="1"/>
  <c r="AQ11" i="1" s="1"/>
  <c r="AP10" i="1"/>
  <c r="AQ10" i="1" s="1"/>
  <c r="AP9" i="1"/>
  <c r="AQ9" i="1" s="1"/>
  <c r="AP8" i="1"/>
  <c r="AQ8" i="1" s="1"/>
  <c r="AP7" i="1"/>
  <c r="AQ7" i="1" s="1"/>
  <c r="AD6" i="1"/>
  <c r="AP6" i="1" s="1"/>
  <c r="AQ6" i="1" s="1"/>
  <c r="T6" i="1"/>
  <c r="T3" i="1" s="1"/>
  <c r="T48" i="1" s="1"/>
  <c r="S6" i="1"/>
  <c r="Q6" i="1"/>
  <c r="L6" i="1"/>
  <c r="K6" i="1"/>
  <c r="D6" i="1"/>
  <c r="C6" i="1"/>
  <c r="AP5" i="1"/>
  <c r="AQ5" i="1" s="1"/>
  <c r="AL5" i="1"/>
  <c r="AK5" i="1"/>
  <c r="AH5" i="1"/>
  <c r="AG5" i="1"/>
  <c r="AB5" i="1"/>
  <c r="AA5" i="1"/>
  <c r="V5" i="1"/>
  <c r="U5" i="1"/>
  <c r="R5" i="1"/>
  <c r="Q5" i="1"/>
  <c r="N5" i="1"/>
  <c r="M5" i="1"/>
  <c r="L5" i="1"/>
  <c r="K5" i="1"/>
  <c r="H5" i="1"/>
  <c r="G5" i="1"/>
  <c r="D5" i="1"/>
  <c r="C5" i="1"/>
  <c r="AP4" i="1"/>
  <c r="AQ4" i="1" s="1"/>
  <c r="AL4" i="1"/>
  <c r="AK4" i="1"/>
  <c r="AH4" i="1"/>
  <c r="AG4" i="1"/>
  <c r="AB4" i="1"/>
  <c r="AA4" i="1"/>
  <c r="V4" i="1"/>
  <c r="V3" i="1" s="1"/>
  <c r="V48" i="1" s="1"/>
  <c r="U4" i="1"/>
  <c r="R4" i="1"/>
  <c r="Q4" i="1"/>
  <c r="N4" i="1"/>
  <c r="N3" i="1" s="1"/>
  <c r="N48" i="1" s="1"/>
  <c r="M4" i="1"/>
  <c r="L4" i="1"/>
  <c r="K4" i="1"/>
  <c r="H4" i="1"/>
  <c r="H3" i="1" s="1"/>
  <c r="H48" i="1" s="1"/>
  <c r="G4" i="1"/>
  <c r="D4" i="1"/>
  <c r="C4" i="1"/>
  <c r="AN3" i="1"/>
  <c r="AL3" i="1"/>
  <c r="AJ3" i="1"/>
  <c r="AJ48" i="1" s="1"/>
  <c r="AH3" i="1"/>
  <c r="AH48" i="1" s="1"/>
  <c r="AF3" i="1"/>
  <c r="AB3" i="1"/>
  <c r="AB48" i="1" s="1"/>
  <c r="Z3" i="1"/>
  <c r="Z48" i="1" s="1"/>
  <c r="X3" i="1"/>
  <c r="R3" i="1"/>
  <c r="R48" i="1" s="1"/>
  <c r="P3" i="1"/>
  <c r="L3" i="1"/>
  <c r="L48" i="1" s="1"/>
  <c r="J3" i="1"/>
  <c r="J48" i="1" s="1"/>
  <c r="F3" i="1"/>
  <c r="D3" i="1"/>
  <c r="D48" i="1" s="1"/>
  <c r="AF69" i="14" l="1"/>
  <c r="AD69" i="14"/>
  <c r="AB69" i="14"/>
  <c r="X69" i="14"/>
  <c r="V69" i="14"/>
  <c r="T69" i="14"/>
  <c r="R69" i="14"/>
  <c r="P69" i="14"/>
  <c r="N69" i="14"/>
  <c r="L69" i="14"/>
  <c r="J69" i="14"/>
  <c r="R69" i="13"/>
  <c r="AX55" i="13"/>
  <c r="AY55" i="13" s="1"/>
  <c r="X69" i="13"/>
  <c r="V69" i="13"/>
  <c r="AX35" i="13"/>
  <c r="AY35" i="13" s="1"/>
  <c r="AX64" i="8"/>
  <c r="AY64" i="8" s="1"/>
  <c r="AN59" i="2"/>
  <c r="AT61" i="3"/>
  <c r="AX50" i="3"/>
  <c r="AY50" i="3" s="1"/>
  <c r="AF47" i="3"/>
  <c r="AX33" i="6"/>
  <c r="AY33" i="6" s="1"/>
  <c r="H32" i="6"/>
  <c r="AX33" i="7"/>
  <c r="AY33" i="7" s="1"/>
  <c r="D71" i="9"/>
  <c r="AX68" i="9"/>
  <c r="D33" i="10"/>
  <c r="AX50" i="10"/>
  <c r="AY50" i="10" s="1"/>
  <c r="AX63" i="4"/>
  <c r="X62" i="5"/>
  <c r="AX32" i="6"/>
  <c r="AY32" i="6" s="1"/>
  <c r="AD3" i="1"/>
  <c r="AV54" i="2"/>
  <c r="AW54" i="2" s="1"/>
  <c r="AV57" i="2"/>
  <c r="AW57" i="2" s="1"/>
  <c r="AF61" i="3"/>
  <c r="AN61" i="3"/>
  <c r="AV61" i="3"/>
  <c r="AX5" i="3"/>
  <c r="AY5" i="3" s="1"/>
  <c r="AY63" i="3"/>
  <c r="AY66" i="3" s="1"/>
  <c r="J61" i="4"/>
  <c r="AH3" i="4"/>
  <c r="AH61" i="4" s="1"/>
  <c r="T61" i="4"/>
  <c r="AX6" i="4"/>
  <c r="AX34" i="4"/>
  <c r="AY34" i="4" s="1"/>
  <c r="N30" i="4"/>
  <c r="N61" i="4" s="1"/>
  <c r="AL62" i="5"/>
  <c r="AT62" i="5"/>
  <c r="AX47" i="4"/>
  <c r="AY47" i="4" s="1"/>
  <c r="AT61" i="4"/>
  <c r="AV64" i="2"/>
  <c r="AW64" i="2" s="1"/>
  <c r="AW61" i="2"/>
  <c r="AL61" i="3"/>
  <c r="AX30" i="3"/>
  <c r="AY30" i="3" s="1"/>
  <c r="AX47" i="3"/>
  <c r="AY47" i="3" s="1"/>
  <c r="AX30" i="4"/>
  <c r="AY30" i="4" s="1"/>
  <c r="P62" i="5"/>
  <c r="AL48" i="1"/>
  <c r="AP53" i="1"/>
  <c r="AB59" i="2"/>
  <c r="AJ3" i="2"/>
  <c r="AJ59" i="2" s="1"/>
  <c r="AR59" i="2"/>
  <c r="AV59" i="2" s="1"/>
  <c r="AW59" i="2" s="1"/>
  <c r="N61" i="3"/>
  <c r="V61" i="3"/>
  <c r="AX3" i="3"/>
  <c r="AY3" i="3" s="1"/>
  <c r="L61" i="4"/>
  <c r="V3" i="4"/>
  <c r="V61" i="4" s="1"/>
  <c r="AX20" i="4"/>
  <c r="AY20" i="4" s="1"/>
  <c r="AR3" i="4"/>
  <c r="AX59" i="4"/>
  <c r="AY59" i="4" s="1"/>
  <c r="H62" i="5"/>
  <c r="T62" i="5"/>
  <c r="AD62" i="5"/>
  <c r="AN62" i="5"/>
  <c r="AV62" i="5"/>
  <c r="AZ3" i="5"/>
  <c r="BA3" i="5" s="1"/>
  <c r="L62" i="5"/>
  <c r="AZ21" i="5"/>
  <c r="BA21" i="5" s="1"/>
  <c r="AZ60" i="5"/>
  <c r="BA60" i="5" s="1"/>
  <c r="D66" i="9"/>
  <c r="H56" i="3"/>
  <c r="H61" i="3" s="1"/>
  <c r="AX61" i="3" s="1"/>
  <c r="AY61" i="3" s="1"/>
  <c r="AJ3" i="4"/>
  <c r="AJ61" i="4" s="1"/>
  <c r="J31" i="5"/>
  <c r="AZ31" i="5" s="1"/>
  <c r="BA31" i="5" s="1"/>
  <c r="AZ64" i="5"/>
  <c r="L63" i="6"/>
  <c r="R49" i="6"/>
  <c r="R63" i="6" s="1"/>
  <c r="AX61" i="6"/>
  <c r="AY61" i="6" s="1"/>
  <c r="AX65" i="6"/>
  <c r="R65" i="7"/>
  <c r="AX65" i="7" s="1"/>
  <c r="AY65" i="7" s="1"/>
  <c r="AX60" i="7"/>
  <c r="AY60" i="7" s="1"/>
  <c r="AX63" i="7"/>
  <c r="AY63" i="7" s="1"/>
  <c r="F66" i="8"/>
  <c r="N66" i="8"/>
  <c r="V66" i="8"/>
  <c r="AD66" i="8"/>
  <c r="AL66" i="8"/>
  <c r="AT66" i="8"/>
  <c r="AX66" i="8" s="1"/>
  <c r="AY66" i="8" s="1"/>
  <c r="AX3" i="8"/>
  <c r="AY3" i="8" s="1"/>
  <c r="AX33" i="8"/>
  <c r="AY33" i="8" s="1"/>
  <c r="AX35" i="9"/>
  <c r="AY35" i="9" s="1"/>
  <c r="N33" i="9"/>
  <c r="N66" i="9" s="1"/>
  <c r="J33" i="10"/>
  <c r="J67" i="10" s="1"/>
  <c r="AX52" i="10"/>
  <c r="AY52" i="10" s="1"/>
  <c r="AB62" i="5"/>
  <c r="AJ62" i="5"/>
  <c r="AR62" i="5"/>
  <c r="D63" i="6"/>
  <c r="P3" i="6"/>
  <c r="AX3" i="6" s="1"/>
  <c r="AY3" i="6" s="1"/>
  <c r="H63" i="6"/>
  <c r="AX50" i="6"/>
  <c r="AY50" i="6" s="1"/>
  <c r="P49" i="6"/>
  <c r="AX58" i="6"/>
  <c r="AY58" i="6" s="1"/>
  <c r="AP63" i="6"/>
  <c r="D33" i="8"/>
  <c r="D66" i="8" s="1"/>
  <c r="AX36" i="8"/>
  <c r="AY36" i="8" s="1"/>
  <c r="AX52" i="8"/>
  <c r="AY52" i="8" s="1"/>
  <c r="AY68" i="8"/>
  <c r="AY71" i="8" s="1"/>
  <c r="AX71" i="8"/>
  <c r="H66" i="9"/>
  <c r="AX3" i="9"/>
  <c r="AY3" i="9" s="1"/>
  <c r="AX51" i="9"/>
  <c r="AY51" i="9" s="1"/>
  <c r="AX64" i="9"/>
  <c r="AY64" i="9" s="1"/>
  <c r="AX33" i="10"/>
  <c r="AY33" i="10" s="1"/>
  <c r="AX34" i="12"/>
  <c r="AY34" i="12" s="1"/>
  <c r="P3" i="4"/>
  <c r="P61" i="4" s="1"/>
  <c r="N65" i="7"/>
  <c r="AX21" i="7"/>
  <c r="AY21" i="7" s="1"/>
  <c r="D3" i="7"/>
  <c r="D65" i="7" s="1"/>
  <c r="AX51" i="7"/>
  <c r="AY51" i="7" s="1"/>
  <c r="T70" i="7"/>
  <c r="AX67" i="7"/>
  <c r="F71" i="8"/>
  <c r="J66" i="9"/>
  <c r="AX52" i="9"/>
  <c r="AY52" i="9" s="1"/>
  <c r="AX54" i="11"/>
  <c r="AY54" i="11" s="1"/>
  <c r="AV66" i="9"/>
  <c r="AX66" i="9" s="1"/>
  <c r="AY66" i="9" s="1"/>
  <c r="D68" i="11"/>
  <c r="L68" i="11"/>
  <c r="T68" i="11"/>
  <c r="AB68" i="11"/>
  <c r="AJ68" i="11"/>
  <c r="AR68" i="11"/>
  <c r="N68" i="12"/>
  <c r="AD68" i="12"/>
  <c r="AD70" i="12" s="1"/>
  <c r="AD74" i="12" s="1"/>
  <c r="AN68" i="12"/>
  <c r="AV68" i="12"/>
  <c r="AX4" i="12"/>
  <c r="AX66" i="12"/>
  <c r="L74" i="12"/>
  <c r="AX70" i="12"/>
  <c r="AX69" i="10"/>
  <c r="AX34" i="11"/>
  <c r="AY34" i="11" s="1"/>
  <c r="AX66" i="11"/>
  <c r="AY66" i="11" s="1"/>
  <c r="R68" i="12"/>
  <c r="V34" i="12"/>
  <c r="AX36" i="12"/>
  <c r="AY36" i="12" s="1"/>
  <c r="AX54" i="12"/>
  <c r="AY54" i="12" s="1"/>
  <c r="AY6" i="13"/>
  <c r="AF69" i="13"/>
  <c r="AX64" i="14"/>
  <c r="AY64" i="14" s="1"/>
  <c r="AX67" i="14"/>
  <c r="AX3" i="10"/>
  <c r="AY3" i="10" s="1"/>
  <c r="D53" i="10"/>
  <c r="AX53" i="10" s="1"/>
  <c r="AY53" i="10" s="1"/>
  <c r="P68" i="11"/>
  <c r="X68" i="11"/>
  <c r="AF68" i="11"/>
  <c r="AN68" i="11"/>
  <c r="AX3" i="11"/>
  <c r="AY3" i="11" s="1"/>
  <c r="AV68" i="11"/>
  <c r="AX68" i="11" s="1"/>
  <c r="AY68" i="11" s="1"/>
  <c r="AX70" i="11"/>
  <c r="F73" i="11"/>
  <c r="V68" i="12"/>
  <c r="AX6" i="12"/>
  <c r="AY6" i="12" s="1"/>
  <c r="AJ3" i="12"/>
  <c r="AJ68" i="12" s="1"/>
  <c r="AX8" i="12"/>
  <c r="AY8" i="12" s="1"/>
  <c r="D3" i="12"/>
  <c r="D68" i="12" s="1"/>
  <c r="F69" i="14"/>
  <c r="AB69" i="13"/>
  <c r="AX71" i="13"/>
  <c r="AX3" i="14"/>
  <c r="AY3" i="14" s="1"/>
  <c r="AD69" i="13"/>
  <c r="AX4" i="13"/>
  <c r="AX55" i="14"/>
  <c r="AY55" i="14" s="1"/>
  <c r="AY71" i="14"/>
  <c r="AY76" i="14" s="1"/>
  <c r="AX76" i="14"/>
  <c r="F76" i="14"/>
  <c r="J69" i="13"/>
  <c r="AX3" i="13"/>
  <c r="AY3" i="13" s="1"/>
  <c r="AX64" i="13"/>
  <c r="AY64" i="13" s="1"/>
  <c r="AX67" i="13"/>
  <c r="AX35" i="14"/>
  <c r="AY35" i="14" s="1"/>
  <c r="AX4" i="14"/>
  <c r="AX69" i="14" l="1"/>
  <c r="AY69" i="14" s="1"/>
  <c r="AY69" i="13"/>
  <c r="AX63" i="6"/>
  <c r="AY63" i="6" s="1"/>
  <c r="AZ62" i="5"/>
  <c r="BA62" i="5" s="1"/>
  <c r="AX61" i="4"/>
  <c r="AY61" i="4" s="1"/>
  <c r="AP48" i="1"/>
  <c r="AQ48" i="1" s="1"/>
  <c r="AY4" i="13"/>
  <c r="AZ34" i="13"/>
  <c r="AX74" i="12"/>
  <c r="AY70" i="12"/>
  <c r="AY74" i="12" s="1"/>
  <c r="AX73" i="11"/>
  <c r="AY70" i="11"/>
  <c r="AY73" i="11" s="1"/>
  <c r="J62" i="5"/>
  <c r="AR61" i="4"/>
  <c r="AX3" i="4"/>
  <c r="AY3" i="4" s="1"/>
  <c r="AX49" i="6"/>
  <c r="AY49" i="6" s="1"/>
  <c r="D67" i="10"/>
  <c r="AX67" i="10" s="1"/>
  <c r="AY67" i="10" s="1"/>
  <c r="AX3" i="12"/>
  <c r="AY3" i="12" s="1"/>
  <c r="AY69" i="10"/>
  <c r="AY72" i="10" s="1"/>
  <c r="AX72" i="10"/>
  <c r="AY66" i="12"/>
  <c r="AX3" i="7"/>
  <c r="AY3" i="7" s="1"/>
  <c r="AX33" i="9"/>
  <c r="AY33" i="9" s="1"/>
  <c r="AV3" i="2"/>
  <c r="AW3" i="2" s="1"/>
  <c r="AZ34" i="14"/>
  <c r="AY4" i="14"/>
  <c r="AY71" i="13"/>
  <c r="AY75" i="13" s="1"/>
  <c r="AY67" i="14"/>
  <c r="AX79" i="14"/>
  <c r="AX80" i="14" s="1"/>
  <c r="AY4" i="12"/>
  <c r="AZ33" i="12"/>
  <c r="AY67" i="7"/>
  <c r="AY70" i="7" s="1"/>
  <c r="AX70" i="7"/>
  <c r="P63" i="6"/>
  <c r="AY6" i="4"/>
  <c r="AZ61" i="4"/>
  <c r="AP3" i="1"/>
  <c r="AQ3" i="1" s="1"/>
  <c r="AD48" i="1"/>
  <c r="AY63" i="4"/>
  <c r="AY66" i="4" s="1"/>
  <c r="AX66" i="4"/>
  <c r="AY68" i="9"/>
  <c r="AY71" i="9" s="1"/>
  <c r="AX71" i="9"/>
  <c r="AY67" i="13"/>
  <c r="AX78" i="13"/>
  <c r="AX79" i="13" s="1"/>
  <c r="AX68" i="12"/>
  <c r="AY68" i="12" s="1"/>
  <c r="AX68" i="6"/>
  <c r="AY65" i="6"/>
  <c r="AY68" i="6" s="1"/>
  <c r="AZ67" i="5"/>
  <c r="BA64" i="5"/>
  <c r="BA67" i="5" s="1"/>
  <c r="AX77" i="12" l="1"/>
  <c r="AX78" i="12" s="1"/>
</calcChain>
</file>

<file path=xl/sharedStrings.xml><?xml version="1.0" encoding="utf-8"?>
<sst xmlns="http://schemas.openxmlformats.org/spreadsheetml/2006/main" count="2859" uniqueCount="304">
  <si>
    <t>Unité</t>
  </si>
  <si>
    <t>mardi 03/05/16 Pessac</t>
  </si>
  <si>
    <t>mardi 03/05/16 Montpezat</t>
  </si>
  <si>
    <t>jeudi 05/05/16 Bordeaux - Quais</t>
  </si>
  <si>
    <t>samedi 07/05/16 Agen</t>
  </si>
  <si>
    <t>mardi 10/05/16 Pessac</t>
  </si>
  <si>
    <t>jeudi 12/05/16 Bordeaux - Quais</t>
  </si>
  <si>
    <t>samedi 14/05/16 Agen</t>
  </si>
  <si>
    <t>mardi 17/05/16 Pessac</t>
  </si>
  <si>
    <t>mardi 17/05/2016 Montpezat</t>
  </si>
  <si>
    <t>jeudi 19/05/16
Bordeaux - Quais</t>
  </si>
  <si>
    <t>mercredi 18/05/16 Villeneuve</t>
  </si>
  <si>
    <t>samedi 21/05/16 Agen</t>
  </si>
  <si>
    <t>mardi 24/05/16 Pessac</t>
  </si>
  <si>
    <t>mardi 24/05/16 Montpezat</t>
  </si>
  <si>
    <t>mercredi 25/05/16 Villeneuve</t>
  </si>
  <si>
    <t>jeudi 26/05/16 Bordeaux - Quais</t>
  </si>
  <si>
    <t>samedi 28/05/16 Agen</t>
  </si>
  <si>
    <t>mardi 31/05/16 Pessac</t>
  </si>
  <si>
    <t>mardi 31/05/16 Montpezat</t>
  </si>
  <si>
    <t>TOTAL TTC</t>
  </si>
  <si>
    <t>TOTAL HT</t>
  </si>
  <si>
    <t>Qté</t>
  </si>
  <si>
    <t>Montant</t>
  </si>
  <si>
    <t>FRUITS FRAIS</t>
  </si>
  <si>
    <t>Fraises mara</t>
  </si>
  <si>
    <t>barquette</t>
  </si>
  <si>
    <t>Fraises cirafines</t>
  </si>
  <si>
    <t>Autres fraises</t>
  </si>
  <si>
    <t>Fraises à conf</t>
  </si>
  <si>
    <t>Mures</t>
  </si>
  <si>
    <t>Framboise</t>
  </si>
  <si>
    <t>Cerises</t>
  </si>
  <si>
    <t>Raisins</t>
  </si>
  <si>
    <t>KG</t>
  </si>
  <si>
    <t>Brugnons</t>
  </si>
  <si>
    <t>Naschi</t>
  </si>
  <si>
    <t>Prunes d'Ente</t>
  </si>
  <si>
    <t>Reines claudes</t>
  </si>
  <si>
    <t>Pêches</t>
  </si>
  <si>
    <t>Figues</t>
  </si>
  <si>
    <t>Mirabelles</t>
  </si>
  <si>
    <t>Poires</t>
  </si>
  <si>
    <t>Pommes</t>
  </si>
  <si>
    <t>Noix</t>
  </si>
  <si>
    <t>Amandes</t>
  </si>
  <si>
    <t>LEGUMES</t>
  </si>
  <si>
    <t>Oignon</t>
  </si>
  <si>
    <t>Pommes de terre</t>
  </si>
  <si>
    <t>Courge-potimarron</t>
  </si>
  <si>
    <t>Tomate</t>
  </si>
  <si>
    <t>Carottes</t>
  </si>
  <si>
    <t>navets</t>
  </si>
  <si>
    <t>botte</t>
  </si>
  <si>
    <t>Salades</t>
  </si>
  <si>
    <t>pièce</t>
  </si>
  <si>
    <t>Haricots</t>
  </si>
  <si>
    <t>Radis</t>
  </si>
  <si>
    <t>Rhubarbe</t>
  </si>
  <si>
    <t>Autres légumes</t>
  </si>
  <si>
    <t>FRUITS SECHES</t>
  </si>
  <si>
    <t>Mirabelles séchées</t>
  </si>
  <si>
    <t>Pêches séchées</t>
  </si>
  <si>
    <t>Poires séchées</t>
  </si>
  <si>
    <t>Tomates séchées</t>
  </si>
  <si>
    <t>Figues séchées</t>
  </si>
  <si>
    <t>Pruneaux</t>
  </si>
  <si>
    <t>JUS</t>
  </si>
  <si>
    <t>Jus de pommes</t>
  </si>
  <si>
    <t>bouteille</t>
  </si>
  <si>
    <t>Jus de raisin</t>
  </si>
  <si>
    <t>AUTRES</t>
  </si>
  <si>
    <t>Œufs</t>
  </si>
  <si>
    <t>qté</t>
  </si>
  <si>
    <t>TOTAL des VENTES :</t>
  </si>
  <si>
    <t>REGLEMENTS</t>
  </si>
  <si>
    <t>Espèces:</t>
  </si>
  <si>
    <t>Chèques:</t>
  </si>
  <si>
    <t>TOTAL:</t>
  </si>
  <si>
    <t>Fond de caisse laissé à la boulangerie de Montpezat</t>
  </si>
  <si>
    <t>mercredi 01/06/16 Villeneuve</t>
  </si>
  <si>
    <t>jeudi 02/06/16 Bordeaux</t>
  </si>
  <si>
    <t>samedi 04/06/16 Agen</t>
  </si>
  <si>
    <t>mardi 07/06/16 Pessac</t>
  </si>
  <si>
    <t>mardi 07/06/16 Montpezat</t>
  </si>
  <si>
    <t>mercredi 08/06/16 Villeneuve</t>
  </si>
  <si>
    <t>jeudi 09/06/2016
Bordeaux</t>
  </si>
  <si>
    <t>samedi 11/06/2016 Agen</t>
  </si>
  <si>
    <t>mardi 14/06/2016 Pessac</t>
  </si>
  <si>
    <t>mardi 14/06/16
Montpezat</t>
  </si>
  <si>
    <t>mercredi 15/06/16 Villeneuve</t>
  </si>
  <si>
    <t>jeudi 16/06/16 Bordeaux - Quais</t>
  </si>
  <si>
    <t>samedi 18/06/16 AGEN</t>
  </si>
  <si>
    <t>mardi 22/06/16 Montpezat</t>
  </si>
  <si>
    <t>mardi 22/06/16 Pessac</t>
  </si>
  <si>
    <t>mercredi 22/06/16 Villeneuve</t>
  </si>
  <si>
    <t>jeudi 23/06/2016
Bordeaux - Quais</t>
  </si>
  <si>
    <t>samedi 25/06/16 Agen</t>
  </si>
  <si>
    <t>mardi 28/06/16 Pessac</t>
  </si>
  <si>
    <t>mardi 28/06/16 Montpezat</t>
  </si>
  <si>
    <t>mercredi 29/06/16 Villeneuve sur lot</t>
  </si>
  <si>
    <t>jeudi 30/06/16 Bordeaux - Quais</t>
  </si>
  <si>
    <t>Myrtilles</t>
  </si>
  <si>
    <t>Cassis</t>
  </si>
  <si>
    <t>Groseilles</t>
  </si>
  <si>
    <t>Physalis</t>
  </si>
  <si>
    <t>500g</t>
  </si>
  <si>
    <t>Cerises cœur de Pigeon</t>
  </si>
  <si>
    <t>Cerises Napoléon</t>
  </si>
  <si>
    <t>kg</t>
  </si>
  <si>
    <t>Artichaut</t>
  </si>
  <si>
    <t>Fèves</t>
  </si>
  <si>
    <t>Blettes</t>
  </si>
  <si>
    <t>Girolles</t>
  </si>
  <si>
    <t>Autres</t>
  </si>
  <si>
    <t>80€ : gratification employé (Vincent)</t>
  </si>
  <si>
    <t>samedi 02/07/16 Agen</t>
  </si>
  <si>
    <t>mardi 05/07/2016 Pessac</t>
  </si>
  <si>
    <t>mercredi 06/07/2016 Villeneuve sur lot</t>
  </si>
  <si>
    <t>jeudi 07/07/2016 Quais des chartrons</t>
  </si>
  <si>
    <t>Samedi 09/07/2016
Agen</t>
  </si>
  <si>
    <t>mardi 12/07/2016
Pessac</t>
  </si>
  <si>
    <t>Samedi 16/07/2016
Agen</t>
  </si>
  <si>
    <t>Mardi 19/07/2016
Pessac</t>
  </si>
  <si>
    <t>Mercredi 20/07/2016
Villeneuve</t>
  </si>
  <si>
    <t>Jeudi 21/07/2016
Quai Bdx</t>
  </si>
  <si>
    <t>Mardi 05/07/2016 Montpezat</t>
  </si>
  <si>
    <t>Mardi 12/07/2016 Montpezat</t>
  </si>
  <si>
    <t>Samedi 23/07/2016
Agen</t>
  </si>
  <si>
    <t>Mardi 26/07/2016
Pessac</t>
  </si>
  <si>
    <t>Mercredi 27/07/2016
Villeneuve</t>
  </si>
  <si>
    <t>Jeudi 28/07/2016
Quai des Chartrons</t>
  </si>
  <si>
    <t>Fruits déclassés</t>
  </si>
  <si>
    <t>Navets</t>
  </si>
  <si>
    <t>Betteraves</t>
  </si>
  <si>
    <t>Samedi 30/07/2016
Agen</t>
  </si>
  <si>
    <t>Mardi 02/08/2016
Pessac</t>
  </si>
  <si>
    <t>Mardi 02/08/2016 Montpezat</t>
  </si>
  <si>
    <t>Mercredi 03/08/2016
Villeneuve</t>
  </si>
  <si>
    <t>Jeudi 04/08/2016
Quais des Chartrons</t>
  </si>
  <si>
    <t>Samedi 06/08/2016
Agen</t>
  </si>
  <si>
    <t>Mardi 09/08/2016
Pessac</t>
  </si>
  <si>
    <t>mardi 09/08/2016 Montpezat</t>
  </si>
  <si>
    <t>Mercredi 10/08/2016
Villeneuve</t>
  </si>
  <si>
    <t>Jeudi 11/08/2016
Quais des Chartrons</t>
  </si>
  <si>
    <t>Samedi 13/08/2016
Villeneuve</t>
  </si>
  <si>
    <t>Mardi 16/08/2016
Pessac</t>
  </si>
  <si>
    <t>Mercredi 17/08/2016
Villeneuve</t>
  </si>
  <si>
    <t>Jeudi 18/08/2016
Quai Bordeaux</t>
  </si>
  <si>
    <t>mardi 16 aout Montpezat</t>
  </si>
  <si>
    <t>Samedi 20/08/2016
Agen</t>
  </si>
  <si>
    <t>Mardi 23/08/2016
Pessac</t>
  </si>
  <si>
    <t>Jeudi 25/08/2016
Quais des Chartrons</t>
  </si>
  <si>
    <t>Mercredi 24/08/2016
Villeneuve</t>
  </si>
  <si>
    <t>Mardi 30/08/2016
Pessac</t>
  </si>
  <si>
    <t>Samedi 27/08/2016
Agen</t>
  </si>
  <si>
    <t>Mercredi 31/08/2016
Villeneuve</t>
  </si>
  <si>
    <t>Essence</t>
  </si>
  <si>
    <t>Jeudi 01/09/2016
Quais Chartrons</t>
  </si>
  <si>
    <t>samedi 03/09/2016 Agen</t>
  </si>
  <si>
    <t>Mardi 06/09/2016
Pessac</t>
  </si>
  <si>
    <t>Mercredi 07/09/2016
Villeneuve</t>
  </si>
  <si>
    <t>Jeudi 08/09/2016
Quais des Chartrons</t>
  </si>
  <si>
    <t>samedi 10/09/2016 Agen</t>
  </si>
  <si>
    <t>Mardi 13/09/2016
Pessac</t>
  </si>
  <si>
    <t>Mardi 23/08/2016
Montpezat</t>
  </si>
  <si>
    <t>Mardi 30/08/2016
Montpezat</t>
  </si>
  <si>
    <t>Mardi 13/09/2016
Montpezat</t>
  </si>
  <si>
    <t>Mercredi 14/09/2016
Villeneuve</t>
  </si>
  <si>
    <t>Jeudi 15/09/2016
Quais des Chartrons</t>
  </si>
  <si>
    <t>Samedi 17/09/2016 Agen</t>
  </si>
  <si>
    <t>Mardi 20/09/2016
Montpezat</t>
  </si>
  <si>
    <t>Mardi 20/09/2016
Pessac</t>
  </si>
  <si>
    <t>Mercredi 21/09/2016
Villeneuve</t>
  </si>
  <si>
    <t>Jeudi 23/09/2016
Quais des chartrons</t>
  </si>
  <si>
    <t>samedi 24/09/2016 Agen</t>
  </si>
  <si>
    <t>Mardi 27/09/2016
Montpezat</t>
  </si>
  <si>
    <t>Mercredi 28/09/2016
Villeneuve</t>
  </si>
  <si>
    <t>Jeudi 29/09/2016
Quais des Chartrons</t>
  </si>
  <si>
    <t>Noisette</t>
  </si>
  <si>
    <t>Coings</t>
  </si>
  <si>
    <t>NON COMPTABILISE</t>
  </si>
  <si>
    <t>Samedi 01/10/2016
AGEN</t>
  </si>
  <si>
    <t>Mardi 04/10/2016
Pessac</t>
  </si>
  <si>
    <t>Mercredi 05/10/2016
Villeneuve</t>
  </si>
  <si>
    <t>Jeudi 06/10/2016
Quais des Chartrons</t>
  </si>
  <si>
    <t>Samedi 08/10/2016 Agen</t>
  </si>
  <si>
    <t>Mercredi 12/10/2016
Villeneuve</t>
  </si>
  <si>
    <t>Mardi 11/10/2016
Pessac</t>
  </si>
  <si>
    <t>Jeudi 13/10/2016 Quais Chartrons</t>
  </si>
  <si>
    <t>samedi 15/10/2016 Agen</t>
  </si>
  <si>
    <t>Kakis</t>
  </si>
  <si>
    <t>Mercredi 02/11/2016
Villeneuve</t>
  </si>
  <si>
    <t>samedi 05/11/2016 Agen</t>
  </si>
  <si>
    <t>mercredi 09/11/2016 Villeneuve / lot</t>
  </si>
  <si>
    <t>samedi 12/11/2016 Agen</t>
  </si>
  <si>
    <t>mercredi 16/11/2016 Villeneuve sur lot</t>
  </si>
  <si>
    <t>samedi 19/11/2016 Agen</t>
  </si>
  <si>
    <t>mercredi 23/11/2016 Villeneuve/lot</t>
  </si>
  <si>
    <t>samedi 26/11/2016 Agen</t>
  </si>
  <si>
    <t>mercredi 30/11/2016
Villeneuve sur Lot</t>
  </si>
  <si>
    <t>Baies de goji</t>
  </si>
  <si>
    <t>Fruits déclassés / Autres fruits</t>
  </si>
  <si>
    <t>Girolles / Champignons</t>
  </si>
  <si>
    <t>Poireaux</t>
  </si>
  <si>
    <t>Samedi 21/01/2017
Agen</t>
  </si>
  <si>
    <t>Mercredi 25/01/2017
Villeneuve</t>
  </si>
  <si>
    <t>Samedi 28/01/2017
Agen</t>
  </si>
  <si>
    <t>Pissenlit</t>
  </si>
  <si>
    <t>Samedi 04/02/2017
Agen</t>
  </si>
  <si>
    <t>Mercredi 08/02/2017
Villeneuve sur Lot</t>
  </si>
  <si>
    <t>Samedi 12/02/2017
Agen</t>
  </si>
  <si>
    <t>Samedi 18/02/2017
Agen</t>
  </si>
  <si>
    <t>Mercredi 22/02/2017
Villeneuve sur Lot</t>
  </si>
  <si>
    <t>Samedi 25/02/2017
Agen</t>
  </si>
  <si>
    <t>Mercredi 01/03/2017
Villeneuve sur Lot</t>
  </si>
  <si>
    <t>Samedi 04/03/2017 Agen</t>
  </si>
  <si>
    <t>Samedi 11/03/2017 Agen</t>
  </si>
  <si>
    <t>Mercredi 15/03/2017
Villeneuve sur Lot</t>
  </si>
  <si>
    <t>Samedi 25/03/2017 Agen</t>
  </si>
  <si>
    <t>Fenouil</t>
  </si>
  <si>
    <t>Samedi 01/04/2017
Agen</t>
  </si>
  <si>
    <t>Mercredi 19/04/2017
Villeneuve sur Lot</t>
  </si>
  <si>
    <t>Samedi 22/04/2017 Agen</t>
  </si>
  <si>
    <t>Mercredi 26/04/2017
Villeneuve sur Lot</t>
  </si>
  <si>
    <t>Samedi 29/04/2017
Agen</t>
  </si>
  <si>
    <t>Gariguette</t>
  </si>
  <si>
    <t>Mardi 02 Mai 2017
Pessac</t>
  </si>
  <si>
    <t>Mercredi 03 Mai 2017 Villeneuve / lot</t>
  </si>
  <si>
    <t>Jeudi 04 Mai 2017 Bordeaux - Quais</t>
  </si>
  <si>
    <t>Samedi 06 Mai 2017 Agen</t>
  </si>
  <si>
    <t>Mardi 09 Mai 2017 Pessac</t>
  </si>
  <si>
    <t>Mercredi 10 Mai 2017 Villeneuve / lot</t>
  </si>
  <si>
    <t>Jeudi 11 Mai Bordeaux - Quais</t>
  </si>
  <si>
    <t>Samedi 13 Mai
Agen</t>
  </si>
  <si>
    <t>Mardi 16 Mai
Pessac</t>
  </si>
  <si>
    <t>Mercredi 17 Mai 2017
Villeneuve sur Lot</t>
  </si>
  <si>
    <t>Jeudi 18 Mai
Bordeaux - Quais</t>
  </si>
  <si>
    <t>Samedi 20 Mai
Agen</t>
  </si>
  <si>
    <t>Mardi 23/05/2017
Pessac</t>
  </si>
  <si>
    <t>Mercredi 24/05/17 Villeneuve sur Lot</t>
  </si>
  <si>
    <t>jeudi 27/05/17 Bodeaux - Quais</t>
  </si>
  <si>
    <t>Samedi 27/05/2017 Agen</t>
  </si>
  <si>
    <t>Mardi 30/05/2017
Pessac</t>
  </si>
  <si>
    <t>Mercredi 31/05/2017
Villeneuve sur Lot</t>
  </si>
  <si>
    <t>Cotisation</t>
  </si>
  <si>
    <t>Jeudi 01/06/2017
Quais - Bordeaux</t>
  </si>
  <si>
    <t>Samedi 03/06/2017
Agen</t>
  </si>
  <si>
    <t>Mardi 06/06/2017
Pessac</t>
  </si>
  <si>
    <t>Mercredi 07/06/2017
Villeneuve sur Lot</t>
  </si>
  <si>
    <t>Jeudi 08/06/2017
Quais - Bordeaux</t>
  </si>
  <si>
    <t>Samedi 10/06/2017
Agen</t>
  </si>
  <si>
    <t>Mardi 13/06/2017
Pessac</t>
  </si>
  <si>
    <t>Mercredi 14/06/2017
Villeneuve sur Lot</t>
  </si>
  <si>
    <t>Jeudi 15/06/2017
Quais - Bordeaux</t>
  </si>
  <si>
    <t>Samedi 17/06/2017
Agen</t>
  </si>
  <si>
    <t>Mardi 20/06/2017
Pessac</t>
  </si>
  <si>
    <t>Mercredi 21/06/2017
Villeneuve</t>
  </si>
  <si>
    <t>Jeudi 22/06/2017
Quais - Bordeaux</t>
  </si>
  <si>
    <t>Samedi 24/06/2017
Agen</t>
  </si>
  <si>
    <t>Mardi 27/06/2017
Pessac</t>
  </si>
  <si>
    <t>Mercredi 28/06/2017
Villeneuve</t>
  </si>
  <si>
    <t>Jeudi 29/06/2017
Quais - Bordeaux</t>
  </si>
  <si>
    <t>13,67+0,435</t>
  </si>
  <si>
    <t>Abricot</t>
  </si>
  <si>
    <t>Samedi 01/07/2017
Agen</t>
  </si>
  <si>
    <t>Mardi 04/07/2017
Pessac</t>
  </si>
  <si>
    <t>Mercredi 05/07/2017
Villeneuve</t>
  </si>
  <si>
    <t>Jeudi 06/07/2017
Quais - Bdx</t>
  </si>
  <si>
    <t>Samedi 08/07/2017
Agen</t>
  </si>
  <si>
    <t>Mardi 11/07/2017
Pessac</t>
  </si>
  <si>
    <t>Mercredi 12/07/2017
Villeneuve</t>
  </si>
  <si>
    <t>Jeudi 13/07/2017
Quais - Bdx</t>
  </si>
  <si>
    <t>Mardi 18/07/2017
Pessac</t>
  </si>
  <si>
    <t>Mercredi 19/07/2017
Villeneuve</t>
  </si>
  <si>
    <t>Jeudi 20/07/2017
Quais - Bdx</t>
  </si>
  <si>
    <t>Samedi 22/07/2017
Agen</t>
  </si>
  <si>
    <t>Mardi 25/07/2017
Pessac</t>
  </si>
  <si>
    <t>Essuie glace</t>
  </si>
  <si>
    <t>Jeudi 27/07/2017
Quais - Bdx</t>
  </si>
  <si>
    <t>Mercredi  26/07/2017
Villeneuve</t>
  </si>
  <si>
    <t>Samedi 29/07/2017
Agen</t>
  </si>
  <si>
    <t>Mardi 01/08/2017
Pessac</t>
  </si>
  <si>
    <t xml:space="preserve">Mercredi 02/08/2017
Villeneuve </t>
  </si>
  <si>
    <t>Cerises séchées</t>
  </si>
  <si>
    <t>Jeudi 03/08/2017
Quais - Bdx</t>
  </si>
  <si>
    <t>Samedi 05/08/2017
Agen</t>
  </si>
  <si>
    <t>Mardi 08/08/2017
Pessac</t>
  </si>
  <si>
    <t xml:space="preserve">Mercredi 10/08/2017
Villeneuve </t>
  </si>
  <si>
    <t>Jeudi 10/08/2017
Quais - Bdx</t>
  </si>
  <si>
    <t>Mardi 15/08/2017
Pessac</t>
  </si>
  <si>
    <t>Samedi 12/08/2017
Agen</t>
  </si>
  <si>
    <t>Mercredi 16/08/2017
Villeneuve</t>
  </si>
  <si>
    <t>Jeudi 17/08/2017
Quais - Bdx</t>
  </si>
  <si>
    <t>Samedi 19/08/2017
Agen</t>
  </si>
  <si>
    <t>Mardi 22/08/2017
Pessac</t>
  </si>
  <si>
    <t>FRUITS</t>
  </si>
  <si>
    <t>Ventes HT</t>
  </si>
  <si>
    <t>Ventes TTC</t>
  </si>
  <si>
    <t>Jeudi 24/08/2017
Quais - Bdx</t>
  </si>
  <si>
    <t>FRAISES</t>
  </si>
  <si>
    <t>Samedi 26/08/2017
Agen</t>
  </si>
  <si>
    <t>Fraises gariguette</t>
  </si>
  <si>
    <t>Fraises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</si>
</sst>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_-* #,##0.00\ [$€-40C]_-;\-* #,##0.00\ [$€-40C]_-;_-* \-??\ [$€-40C]_-;_-@_-"/>
    <numFmt numFmtId="166" formatCode="_-* #,##0.00,\€_-;\-* #,##0.00,\€_-;_-* \-??&quot; €&quot;_-;_-@_-"/>
    <numFmt numFmtId="167" formatCode="#,##0.00,\€"/>
    <numFmt numFmtId="168" formatCode="0.0000"/>
    <numFmt numFmtId="169" formatCode="#,##0.00\ &quot;€&quot;"/>
    <numFmt numFmtId="170" formatCode="_-* #,##0.00\ [$€-40C]_-;\-* #,##0.00\ [$€-40C]_-;_-* &quot;-&quot;??\ [$€-40C]_-;_-@_-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rgb="FFFFE699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CFFCC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6" fontId="4" fillId="0" borderId="0" applyBorder="0" applyProtection="0"/>
  </cellStyleXfs>
  <cellXfs count="14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164" fontId="0" fillId="0" borderId="5" xfId="0" applyNumberFormat="1" applyFont="1" applyBorder="1"/>
    <xf numFmtId="165" fontId="0" fillId="0" borderId="6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/>
    <xf numFmtId="0" fontId="1" fillId="2" borderId="9" xfId="0" applyFont="1" applyFill="1" applyBorder="1"/>
    <xf numFmtId="164" fontId="1" fillId="2" borderId="8" xfId="0" applyNumberFormat="1" applyFont="1" applyFill="1" applyBorder="1"/>
    <xf numFmtId="165" fontId="1" fillId="2" borderId="9" xfId="0" applyNumberFormat="1" applyFont="1" applyFill="1" applyBorder="1"/>
    <xf numFmtId="0" fontId="1" fillId="2" borderId="1" xfId="0" applyFont="1" applyFill="1" applyBorder="1"/>
    <xf numFmtId="165" fontId="1" fillId="2" borderId="2" xfId="0" applyNumberFormat="1" applyFont="1" applyFill="1" applyBorder="1"/>
    <xf numFmtId="0" fontId="1" fillId="2" borderId="0" xfId="0" applyFont="1" applyFill="1"/>
    <xf numFmtId="0" fontId="0" fillId="0" borderId="8" xfId="0" applyFont="1" applyBorder="1"/>
    <xf numFmtId="0" fontId="0" fillId="0" borderId="9" xfId="0" applyFont="1" applyBorder="1"/>
    <xf numFmtId="1" fontId="0" fillId="0" borderId="8" xfId="0" applyNumberFormat="1" applyBorder="1"/>
    <xf numFmtId="165" fontId="0" fillId="0" borderId="9" xfId="0" applyNumberFormat="1" applyBorder="1"/>
    <xf numFmtId="165" fontId="1" fillId="0" borderId="9" xfId="0" applyNumberFormat="1" applyFont="1" applyBorder="1"/>
    <xf numFmtId="1" fontId="0" fillId="0" borderId="0" xfId="0" applyNumberFormat="1"/>
    <xf numFmtId="164" fontId="0" fillId="0" borderId="8" xfId="0" applyNumberFormat="1" applyBorder="1"/>
    <xf numFmtId="1" fontId="0" fillId="0" borderId="5" xfId="0" applyNumberFormat="1" applyBorder="1"/>
    <xf numFmtId="165" fontId="1" fillId="0" borderId="6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5" fontId="1" fillId="0" borderId="4" xfId="0" applyNumberFormat="1" applyFont="1" applyBorder="1"/>
    <xf numFmtId="164" fontId="0" fillId="0" borderId="0" xfId="0" applyNumberFormat="1" applyAlignment="1">
      <alignment vertical="top" wrapText="1"/>
    </xf>
    <xf numFmtId="0" fontId="3" fillId="3" borderId="2" xfId="0" applyFont="1" applyFill="1" applyBorder="1"/>
    <xf numFmtId="164" fontId="0" fillId="3" borderId="1" xfId="0" applyNumberFormat="1" applyFill="1" applyBorder="1" applyAlignment="1">
      <alignment vertical="top" wrapText="1"/>
    </xf>
    <xf numFmtId="166" fontId="0" fillId="3" borderId="2" xfId="1" applyFont="1" applyFill="1" applyBorder="1" applyAlignment="1" applyProtection="1">
      <alignment vertical="top" wrapText="1"/>
    </xf>
    <xf numFmtId="165" fontId="0" fillId="3" borderId="11" xfId="0" applyNumberFormat="1" applyFill="1" applyBorder="1" applyAlignment="1">
      <alignment vertical="top" wrapText="1"/>
    </xf>
    <xf numFmtId="165" fontId="0" fillId="3" borderId="2" xfId="0" applyNumberFormat="1" applyFill="1" applyBorder="1" applyAlignment="1">
      <alignment vertical="top" wrapText="1"/>
    </xf>
    <xf numFmtId="0" fontId="3" fillId="3" borderId="9" xfId="0" applyFont="1" applyFill="1" applyBorder="1"/>
    <xf numFmtId="1" fontId="0" fillId="3" borderId="8" xfId="0" applyNumberFormat="1" applyFill="1" applyBorder="1" applyAlignment="1">
      <alignment vertical="top" wrapText="1"/>
    </xf>
    <xf numFmtId="166" fontId="0" fillId="3" borderId="9" xfId="1" applyFont="1" applyFill="1" applyBorder="1" applyAlignment="1" applyProtection="1">
      <alignment vertical="top" wrapText="1"/>
    </xf>
    <xf numFmtId="165" fontId="0" fillId="3" borderId="0" xfId="0" applyNumberFormat="1" applyFill="1" applyBorder="1" applyAlignment="1">
      <alignment vertical="top" wrapText="1"/>
    </xf>
    <xf numFmtId="165" fontId="0" fillId="3" borderId="9" xfId="0" applyNumberFormat="1" applyFill="1" applyBorder="1" applyAlignment="1">
      <alignment vertical="top" wrapText="1"/>
    </xf>
    <xf numFmtId="164" fontId="0" fillId="3" borderId="8" xfId="0" applyNumberFormat="1" applyFill="1" applyBorder="1" applyAlignment="1">
      <alignment vertical="top" wrapText="1"/>
    </xf>
    <xf numFmtId="0" fontId="2" fillId="3" borderId="6" xfId="0" applyFont="1" applyFill="1" applyBorder="1"/>
    <xf numFmtId="164" fontId="2" fillId="3" borderId="5" xfId="0" applyNumberFormat="1" applyFont="1" applyFill="1" applyBorder="1" applyAlignment="1">
      <alignment vertical="top" wrapText="1"/>
    </xf>
    <xf numFmtId="166" fontId="2" fillId="3" borderId="6" xfId="1" applyFont="1" applyFill="1" applyBorder="1" applyAlignment="1" applyProtection="1">
      <alignment vertical="top" wrapText="1"/>
    </xf>
    <xf numFmtId="165" fontId="2" fillId="3" borderId="12" xfId="0" applyNumberFormat="1" applyFont="1" applyFill="1" applyBorder="1" applyAlignment="1">
      <alignment vertical="top" wrapText="1"/>
    </xf>
    <xf numFmtId="165" fontId="2" fillId="3" borderId="6" xfId="0" applyNumberFormat="1" applyFont="1" applyFill="1" applyBorder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5" fontId="2" fillId="3" borderId="9" xfId="0" applyNumberFormat="1" applyFont="1" applyFill="1" applyBorder="1" applyAlignment="1">
      <alignment vertical="top" wrapText="1"/>
    </xf>
    <xf numFmtId="0" fontId="2" fillId="0" borderId="0" xfId="0" applyFont="1"/>
    <xf numFmtId="167" fontId="0" fillId="0" borderId="0" xfId="0" applyNumberFormat="1"/>
    <xf numFmtId="167" fontId="1" fillId="2" borderId="8" xfId="0" applyNumberFormat="1" applyFont="1" applyFill="1" applyBorder="1"/>
    <xf numFmtId="167" fontId="1" fillId="2" borderId="9" xfId="0" applyNumberFormat="1" applyFont="1" applyFill="1" applyBorder="1"/>
    <xf numFmtId="167" fontId="0" fillId="0" borderId="8" xfId="0" applyNumberFormat="1" applyBorder="1"/>
    <xf numFmtId="167" fontId="0" fillId="0" borderId="9" xfId="0" applyNumberFormat="1" applyBorder="1"/>
    <xf numFmtId="167" fontId="0" fillId="0" borderId="5" xfId="0" applyNumberFormat="1" applyBorder="1"/>
    <xf numFmtId="167" fontId="0" fillId="0" borderId="6" xfId="0" applyNumberFormat="1" applyBorder="1"/>
    <xf numFmtId="167" fontId="1" fillId="0" borderId="0" xfId="0" applyNumberFormat="1" applyFont="1"/>
    <xf numFmtId="167" fontId="0" fillId="3" borderId="1" xfId="0" applyNumberFormat="1" applyFill="1" applyBorder="1" applyAlignment="1">
      <alignment vertical="top" wrapText="1"/>
    </xf>
    <xf numFmtId="167" fontId="0" fillId="3" borderId="2" xfId="0" applyNumberFormat="1" applyFill="1" applyBorder="1" applyAlignment="1">
      <alignment vertical="top" wrapText="1"/>
    </xf>
    <xf numFmtId="167" fontId="0" fillId="3" borderId="8" xfId="0" applyNumberFormat="1" applyFill="1" applyBorder="1" applyAlignment="1">
      <alignment vertical="top" wrapText="1"/>
    </xf>
    <xf numFmtId="167" fontId="0" fillId="3" borderId="9" xfId="0" applyNumberFormat="1" applyFill="1" applyBorder="1" applyAlignment="1">
      <alignment vertical="top" wrapText="1"/>
    </xf>
    <xf numFmtId="167" fontId="2" fillId="3" borderId="5" xfId="0" applyNumberFormat="1" applyFont="1" applyFill="1" applyBorder="1" applyAlignment="1">
      <alignment vertical="top" wrapText="1"/>
    </xf>
    <xf numFmtId="167" fontId="2" fillId="3" borderId="6" xfId="0" applyNumberFormat="1" applyFont="1" applyFill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0" fillId="4" borderId="2" xfId="0" applyFill="1" applyBorder="1" applyAlignment="1">
      <alignment horizontal="center" wrapText="1"/>
    </xf>
    <xf numFmtId="165" fontId="0" fillId="0" borderId="12" xfId="0" applyNumberFormat="1" applyFont="1" applyBorder="1"/>
    <xf numFmtId="165" fontId="0" fillId="4" borderId="6" xfId="0" applyNumberFormat="1" applyFill="1" applyBorder="1"/>
    <xf numFmtId="165" fontId="1" fillId="2" borderId="0" xfId="0" applyNumberFormat="1" applyFont="1" applyFill="1" applyBorder="1"/>
    <xf numFmtId="165" fontId="1" fillId="2" borderId="14" xfId="0" applyNumberFormat="1" applyFont="1" applyFill="1" applyBorder="1"/>
    <xf numFmtId="1" fontId="0" fillId="0" borderId="0" xfId="0" applyNumberFormat="1" applyBorder="1"/>
    <xf numFmtId="165" fontId="0" fillId="0" borderId="0" xfId="0" applyNumberFormat="1" applyBorder="1"/>
    <xf numFmtId="165" fontId="0" fillId="0" borderId="14" xfId="0" applyNumberFormat="1" applyBorder="1"/>
    <xf numFmtId="0" fontId="0" fillId="0" borderId="0" xfId="0" applyAlignment="1">
      <alignment horizontal="center"/>
    </xf>
    <xf numFmtId="1" fontId="0" fillId="0" borderId="12" xfId="0" applyNumberFormat="1" applyBorder="1"/>
    <xf numFmtId="165" fontId="0" fillId="0" borderId="7" xfId="0" applyNumberFormat="1" applyBorder="1"/>
    <xf numFmtId="2" fontId="0" fillId="0" borderId="0" xfId="0" applyNumberFormat="1"/>
    <xf numFmtId="165" fontId="0" fillId="4" borderId="11" xfId="0" applyNumberFormat="1" applyFill="1" applyBorder="1" applyAlignment="1">
      <alignment vertical="top" wrapText="1"/>
    </xf>
    <xf numFmtId="1" fontId="0" fillId="4" borderId="0" xfId="0" applyNumberFormat="1" applyFill="1" applyBorder="1" applyAlignment="1">
      <alignment horizontal="center" vertical="top" wrapText="1"/>
    </xf>
    <xf numFmtId="165" fontId="0" fillId="4" borderId="0" xfId="0" applyNumberFormat="1" applyFill="1" applyBorder="1" applyAlignment="1">
      <alignment vertical="top" wrapText="1"/>
    </xf>
    <xf numFmtId="165" fontId="2" fillId="4" borderId="12" xfId="0" applyNumberFormat="1" applyFont="1" applyFill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5" fontId="1" fillId="2" borderId="3" xfId="0" applyNumberFormat="1" applyFont="1" applyFill="1" applyBorder="1"/>
    <xf numFmtId="164" fontId="0" fillId="0" borderId="0" xfId="0" applyNumberFormat="1" applyBorder="1"/>
    <xf numFmtId="1" fontId="0" fillId="0" borderId="7" xfId="0" applyNumberFormat="1" applyBorder="1"/>
    <xf numFmtId="165" fontId="0" fillId="3" borderId="1" xfId="1" applyNumberFormat="1" applyFont="1" applyFill="1" applyBorder="1" applyAlignment="1" applyProtection="1">
      <alignment vertical="top" wrapText="1"/>
    </xf>
    <xf numFmtId="1" fontId="0" fillId="3" borderId="0" xfId="0" applyNumberFormat="1" applyFill="1" applyBorder="1" applyAlignment="1">
      <alignment vertical="top" wrapText="1"/>
    </xf>
    <xf numFmtId="165" fontId="0" fillId="3" borderId="8" xfId="1" applyNumberFormat="1" applyFont="1" applyFill="1" applyBorder="1" applyAlignment="1" applyProtection="1">
      <alignment vertical="top" wrapText="1"/>
    </xf>
    <xf numFmtId="165" fontId="2" fillId="3" borderId="5" xfId="0" applyNumberFormat="1" applyFont="1" applyFill="1" applyBorder="1" applyAlignment="1">
      <alignment vertical="top" wrapText="1"/>
    </xf>
    <xf numFmtId="20" fontId="0" fillId="0" borderId="0" xfId="0" applyNumberFormat="1"/>
    <xf numFmtId="165" fontId="0" fillId="3" borderId="3" xfId="0" applyNumberFormat="1" applyFill="1" applyBorder="1" applyAlignment="1">
      <alignment vertical="top" wrapText="1"/>
    </xf>
    <xf numFmtId="165" fontId="0" fillId="3" borderId="14" xfId="0" applyNumberFormat="1" applyFill="1" applyBorder="1" applyAlignment="1">
      <alignment vertical="top" wrapText="1"/>
    </xf>
    <xf numFmtId="164" fontId="0" fillId="3" borderId="14" xfId="0" applyNumberFormat="1" applyFill="1" applyBorder="1" applyAlignment="1">
      <alignment vertical="top" wrapText="1"/>
    </xf>
    <xf numFmtId="165" fontId="2" fillId="3" borderId="7" xfId="0" applyNumberFormat="1" applyFont="1" applyFill="1" applyBorder="1" applyAlignment="1">
      <alignment vertical="top" wrapText="1"/>
    </xf>
    <xf numFmtId="167" fontId="0" fillId="3" borderId="2" xfId="1" applyNumberFormat="1" applyFont="1" applyFill="1" applyBorder="1" applyAlignment="1" applyProtection="1">
      <alignment vertical="top" wrapText="1"/>
    </xf>
    <xf numFmtId="167" fontId="0" fillId="3" borderId="9" xfId="1" applyNumberFormat="1" applyFont="1" applyFill="1" applyBorder="1" applyAlignment="1" applyProtection="1">
      <alignment vertical="top" wrapText="1"/>
    </xf>
    <xf numFmtId="167" fontId="2" fillId="3" borderId="6" xfId="1" applyNumberFormat="1" applyFont="1" applyFill="1" applyBorder="1" applyAlignment="1" applyProtection="1">
      <alignment vertical="top" wrapText="1"/>
    </xf>
    <xf numFmtId="2" fontId="0" fillId="0" borderId="8" xfId="0" applyNumberFormat="1" applyBorder="1"/>
    <xf numFmtId="168" fontId="0" fillId="0" borderId="8" xfId="0" applyNumberFormat="1" applyBorder="1"/>
    <xf numFmtId="0" fontId="0" fillId="0" borderId="0" xfId="0" applyBorder="1"/>
    <xf numFmtId="165" fontId="0" fillId="0" borderId="0" xfId="0" applyNumberFormat="1" applyBorder="1"/>
    <xf numFmtId="167" fontId="0" fillId="3" borderId="2" xfId="0" applyNumberFormat="1" applyFill="1" applyBorder="1" applyAlignment="1">
      <alignment vertical="top" wrapText="1"/>
    </xf>
    <xf numFmtId="167" fontId="0" fillId="3" borderId="9" xfId="0" applyNumberFormat="1" applyFill="1" applyBorder="1" applyAlignment="1">
      <alignment vertical="top" wrapText="1"/>
    </xf>
    <xf numFmtId="167" fontId="2" fillId="3" borderId="5" xfId="0" applyNumberFormat="1" applyFont="1" applyFill="1" applyBorder="1" applyAlignment="1">
      <alignment vertical="top" wrapText="1"/>
    </xf>
    <xf numFmtId="167" fontId="2" fillId="3" borderId="12" xfId="0" applyNumberFormat="1" applyFont="1" applyFill="1" applyBorder="1" applyAlignment="1">
      <alignment vertical="top" wrapText="1"/>
    </xf>
    <xf numFmtId="167" fontId="2" fillId="3" borderId="6" xfId="0" applyNumberFormat="1" applyFont="1" applyFill="1" applyBorder="1" applyAlignment="1">
      <alignment vertical="top" wrapText="1"/>
    </xf>
    <xf numFmtId="169" fontId="0" fillId="3" borderId="1" xfId="0" applyNumberFormat="1" applyFill="1" applyBorder="1" applyAlignment="1">
      <alignment vertical="top" wrapText="1"/>
    </xf>
    <xf numFmtId="169" fontId="0" fillId="3" borderId="2" xfId="1" applyNumberFormat="1" applyFont="1" applyFill="1" applyBorder="1" applyAlignment="1" applyProtection="1">
      <alignment vertical="top" wrapText="1"/>
    </xf>
    <xf numFmtId="169" fontId="0" fillId="3" borderId="11" xfId="0" applyNumberFormat="1" applyFill="1" applyBorder="1" applyAlignment="1">
      <alignment vertical="top" wrapText="1"/>
    </xf>
    <xf numFmtId="169" fontId="0" fillId="3" borderId="2" xfId="0" applyNumberFormat="1" applyFill="1" applyBorder="1" applyAlignment="1">
      <alignment vertical="top" wrapText="1"/>
    </xf>
    <xf numFmtId="169" fontId="0" fillId="3" borderId="8" xfId="0" applyNumberFormat="1" applyFill="1" applyBorder="1" applyAlignment="1">
      <alignment vertical="top" wrapText="1"/>
    </xf>
    <xf numFmtId="169" fontId="0" fillId="3" borderId="9" xfId="1" applyNumberFormat="1" applyFont="1" applyFill="1" applyBorder="1" applyAlignment="1" applyProtection="1">
      <alignment vertical="top" wrapText="1"/>
    </xf>
    <xf numFmtId="169" fontId="0" fillId="3" borderId="0" xfId="0" applyNumberFormat="1" applyFill="1" applyBorder="1" applyAlignment="1">
      <alignment vertical="top" wrapText="1"/>
    </xf>
    <xf numFmtId="169" fontId="0" fillId="3" borderId="9" xfId="0" applyNumberFormat="1" applyFill="1" applyBorder="1" applyAlignment="1">
      <alignment vertical="top" wrapText="1"/>
    </xf>
    <xf numFmtId="169" fontId="2" fillId="3" borderId="5" xfId="0" applyNumberFormat="1" applyFont="1" applyFill="1" applyBorder="1" applyAlignment="1">
      <alignment vertical="top" wrapText="1"/>
    </xf>
    <xf numFmtId="169" fontId="2" fillId="3" borderId="6" xfId="1" applyNumberFormat="1" applyFont="1" applyFill="1" applyBorder="1" applyAlignment="1" applyProtection="1">
      <alignment vertical="top" wrapText="1"/>
    </xf>
    <xf numFmtId="169" fontId="2" fillId="3" borderId="12" xfId="0" applyNumberFormat="1" applyFont="1" applyFill="1" applyBorder="1" applyAlignment="1">
      <alignment vertical="top" wrapText="1"/>
    </xf>
    <xf numFmtId="169" fontId="2" fillId="3" borderId="6" xfId="0" applyNumberFormat="1" applyFont="1" applyFill="1" applyBorder="1" applyAlignment="1">
      <alignment vertical="top" wrapText="1"/>
    </xf>
    <xf numFmtId="0" fontId="0" fillId="3" borderId="8" xfId="0" applyNumberFormat="1" applyFill="1" applyBorder="1" applyAlignment="1">
      <alignment vertical="top" wrapText="1"/>
    </xf>
    <xf numFmtId="0" fontId="0" fillId="3" borderId="0" xfId="0" applyNumberFormat="1" applyFill="1" applyBorder="1" applyAlignment="1">
      <alignment vertical="top" wrapText="1"/>
    </xf>
    <xf numFmtId="169" fontId="0" fillId="0" borderId="0" xfId="0" applyNumberFormat="1" applyAlignment="1">
      <alignment vertical="top" wrapText="1"/>
    </xf>
    <xf numFmtId="1" fontId="0" fillId="0" borderId="0" xfId="0" applyNumberFormat="1" applyFill="1" applyBorder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 applyFill="1" applyBorder="1"/>
    <xf numFmtId="2" fontId="0" fillId="0" borderId="0" xfId="0" applyNumberFormat="1" applyFill="1" applyBorder="1"/>
    <xf numFmtId="0" fontId="0" fillId="0" borderId="13" xfId="0" applyFont="1" applyBorder="1"/>
    <xf numFmtId="170" fontId="0" fillId="0" borderId="13" xfId="0" applyNumberFormat="1" applyBorder="1"/>
    <xf numFmtId="169" fontId="4" fillId="0" borderId="13" xfId="1" applyNumberFormat="1" applyBorder="1"/>
    <xf numFmtId="0" fontId="1" fillId="6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170" fontId="0" fillId="0" borderId="0" xfId="0" applyNumberFormat="1"/>
    <xf numFmtId="14" fontId="0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3" borderId="10" xfId="0" applyFont="1" applyFill="1" applyBorder="1" applyAlignment="1">
      <alignment horizontal="right" vertical="center"/>
    </xf>
    <xf numFmtId="164" fontId="0" fillId="0" borderId="13" xfId="0" applyNumberFormat="1" applyFont="1" applyBorder="1" applyAlignment="1">
      <alignment horizontal="center" vertical="top" wrapText="1"/>
    </xf>
    <xf numFmtId="167" fontId="1" fillId="0" borderId="4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top" wrapText="1"/>
    </xf>
    <xf numFmtId="164" fontId="0" fillId="0" borderId="0" xfId="0" applyNumberFormat="1"/>
    <xf numFmtId="165" fontId="0" fillId="0" borderId="0" xfId="0" applyNumberFormat="1"/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FFFF"/>
    <pageSetUpPr fitToPage="1"/>
  </sheetPr>
  <dimension ref="A1:AQ56"/>
  <sheetViews>
    <sheetView windowProtection="1" zoomScaleNormal="100" workbookViewId="0">
      <pane xSplit="2" ySplit="2" topLeftCell="AB3" activePane="bottomRight" state="frozen"/>
      <selection pane="topRight" activeCell="AB1" sqref="AB1"/>
      <selection pane="bottomLeft" activeCell="A33" sqref="A33"/>
      <selection pane="bottomRight" activeCell="Q1" sqref="Q1:R1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" style="2"/>
    <col min="5" max="5" width="8.7109375" style="1"/>
    <col min="6" max="6" width="10.140625" style="2"/>
    <col min="7" max="7" width="8.7109375" style="1"/>
    <col min="8" max="8" width="10.85546875" style="2"/>
    <col min="9" max="9" width="8.7109375" style="1"/>
    <col min="10" max="10" width="10.140625" style="2"/>
    <col min="11" max="11" width="8.7109375" style="1"/>
    <col min="12" max="12" width="10.140625" style="2"/>
    <col min="13" max="13" width="8.7109375" style="1"/>
    <col min="14" max="14" width="11.425781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4257812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10.7109375"/>
    <col min="42" max="43" width="11.85546875"/>
    <col min="44" max="1025" width="10.7109375"/>
  </cols>
  <sheetData>
    <row r="1" spans="1:43" s="6" customFormat="1" ht="26.25" customHeight="1" x14ac:dyDescent="0.25">
      <c r="A1" s="3"/>
      <c r="B1" s="4" t="s">
        <v>0</v>
      </c>
      <c r="C1" s="136" t="s">
        <v>1</v>
      </c>
      <c r="D1" s="136"/>
      <c r="E1" s="136" t="s">
        <v>2</v>
      </c>
      <c r="F1" s="136"/>
      <c r="G1" s="136" t="s">
        <v>3</v>
      </c>
      <c r="H1" s="136"/>
      <c r="I1" s="136" t="s">
        <v>4</v>
      </c>
      <c r="J1" s="136"/>
      <c r="K1" s="136" t="s">
        <v>5</v>
      </c>
      <c r="L1" s="136"/>
      <c r="M1" s="136" t="s">
        <v>6</v>
      </c>
      <c r="N1" s="136"/>
      <c r="O1" s="136" t="s">
        <v>7</v>
      </c>
      <c r="P1" s="136"/>
      <c r="Q1" s="136" t="s">
        <v>8</v>
      </c>
      <c r="R1" s="136"/>
      <c r="S1" s="136" t="s">
        <v>9</v>
      </c>
      <c r="T1" s="136"/>
      <c r="U1" s="136" t="s">
        <v>10</v>
      </c>
      <c r="V1" s="136"/>
      <c r="W1" s="136" t="s">
        <v>11</v>
      </c>
      <c r="X1" s="136"/>
      <c r="Y1" s="136" t="s">
        <v>12</v>
      </c>
      <c r="Z1" s="136"/>
      <c r="AA1" s="136" t="s">
        <v>13</v>
      </c>
      <c r="AB1" s="136"/>
      <c r="AC1" s="136" t="s">
        <v>14</v>
      </c>
      <c r="AD1" s="136"/>
      <c r="AE1" s="136" t="s">
        <v>15</v>
      </c>
      <c r="AF1" s="136"/>
      <c r="AG1" s="136" t="s">
        <v>16</v>
      </c>
      <c r="AH1" s="136"/>
      <c r="AI1" s="136" t="s">
        <v>17</v>
      </c>
      <c r="AJ1" s="136"/>
      <c r="AK1" s="136" t="s">
        <v>18</v>
      </c>
      <c r="AL1" s="136"/>
      <c r="AM1" s="136" t="s">
        <v>19</v>
      </c>
      <c r="AN1" s="136"/>
      <c r="AO1" s="137" t="s">
        <v>20</v>
      </c>
      <c r="AP1" s="137"/>
      <c r="AQ1" s="5" t="s">
        <v>21</v>
      </c>
    </row>
    <row r="2" spans="1:43" hidden="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/>
      <c r="J2" s="10" t="s">
        <v>23</v>
      </c>
      <c r="K2" s="9" t="s">
        <v>22</v>
      </c>
      <c r="L2" s="10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137"/>
      <c r="AP2" s="137"/>
      <c r="AQ2" s="11"/>
    </row>
    <row r="3" spans="1:43" s="18" customFormat="1" x14ac:dyDescent="0.25">
      <c r="A3" s="12" t="s">
        <v>24</v>
      </c>
      <c r="B3" s="13"/>
      <c r="C3" s="14"/>
      <c r="D3" s="15">
        <f>SUM(D4:D22)</f>
        <v>608.4</v>
      </c>
      <c r="E3" s="14"/>
      <c r="F3" s="15">
        <f>SUM(F4:F22)</f>
        <v>95</v>
      </c>
      <c r="G3" s="14"/>
      <c r="H3" s="15">
        <f>SUM(H4:H22)</f>
        <v>753.7</v>
      </c>
      <c r="I3" s="14"/>
      <c r="J3" s="15">
        <f>SUM(J4:J22)</f>
        <v>312</v>
      </c>
      <c r="K3" s="14"/>
      <c r="L3" s="15">
        <f>SUM(L4:L22)</f>
        <v>767.7</v>
      </c>
      <c r="M3" s="14"/>
      <c r="N3" s="15">
        <f>SUM(N4:N22)</f>
        <v>946.69999999999993</v>
      </c>
      <c r="O3" s="14"/>
      <c r="P3" s="15">
        <f>SUM(P4:P22)</f>
        <v>238</v>
      </c>
      <c r="Q3" s="14"/>
      <c r="R3" s="15">
        <f>SUM(R4:R22)</f>
        <v>690.3</v>
      </c>
      <c r="S3" s="14"/>
      <c r="T3" s="15">
        <f>SUM(T4:T22)</f>
        <v>71</v>
      </c>
      <c r="U3" s="14"/>
      <c r="V3" s="15">
        <f>SUM(V4:V22)</f>
        <v>928.3</v>
      </c>
      <c r="W3" s="14"/>
      <c r="X3" s="15">
        <f>SUM(X4:X22)</f>
        <v>260.39999999999998</v>
      </c>
      <c r="Y3" s="14"/>
      <c r="Z3" s="15">
        <f>SUM(Z4:Z22)</f>
        <v>404</v>
      </c>
      <c r="AA3" s="14"/>
      <c r="AB3" s="15">
        <f>SUM(AB4:AB22)</f>
        <v>629.69999999999993</v>
      </c>
      <c r="AC3" s="14"/>
      <c r="AD3" s="15">
        <f>SUM(AD4:AD22)</f>
        <v>62</v>
      </c>
      <c r="AE3" s="14"/>
      <c r="AF3" s="15">
        <f>SUM(AF4:AF22)</f>
        <v>178.5</v>
      </c>
      <c r="AG3" s="14"/>
      <c r="AH3" s="15">
        <f>SUM(AH4:AH22)</f>
        <v>898.59999999999991</v>
      </c>
      <c r="AI3" s="14"/>
      <c r="AJ3" s="15">
        <f>SUM(AJ4:AJ22)</f>
        <v>474</v>
      </c>
      <c r="AK3" s="14"/>
      <c r="AL3" s="15">
        <f>SUM(AL4:AL22)</f>
        <v>619.70000000000005</v>
      </c>
      <c r="AM3" s="14"/>
      <c r="AN3" s="15">
        <f>SUM(AN4:AN22)</f>
        <v>30</v>
      </c>
      <c r="AO3" s="16"/>
      <c r="AP3" s="17">
        <f t="shared" ref="AP3:AP48" si="0">SUM(AN3,AL3,AJ3,AH3,AF3,AD3,AB3,Z3,X3,V3,T3,R3,P3,N3,L3,J3,H3,F3,D3)</f>
        <v>8968</v>
      </c>
      <c r="AQ3" s="17">
        <f t="shared" ref="AQ3:AQ48" si="1">AP3/1.055</f>
        <v>8500.4739336492894</v>
      </c>
    </row>
    <row r="4" spans="1:43" x14ac:dyDescent="0.25">
      <c r="A4" s="19" t="s">
        <v>25</v>
      </c>
      <c r="B4" s="20" t="s">
        <v>26</v>
      </c>
      <c r="C4" s="21">
        <f>3+2*2+3+1+2</f>
        <v>13</v>
      </c>
      <c r="D4" s="22">
        <f>10.5+13.6+10+3.3+2*3.4</f>
        <v>44.199999999999996</v>
      </c>
      <c r="E4" s="21">
        <v>12</v>
      </c>
      <c r="F4" s="22">
        <v>33.5</v>
      </c>
      <c r="G4" s="21">
        <f>3+2*2+3*3+2</f>
        <v>18</v>
      </c>
      <c r="H4" s="22">
        <f>10.5+14+20+5.6</f>
        <v>50.1</v>
      </c>
      <c r="I4" s="21"/>
      <c r="J4" s="22"/>
      <c r="K4" s="21">
        <f>5+2*3+6*3+6+30</f>
        <v>65</v>
      </c>
      <c r="L4" s="22">
        <f>60+21+17.5+19.8+98</f>
        <v>216.3</v>
      </c>
      <c r="M4" s="21">
        <f>6+2*2+3*4</f>
        <v>22</v>
      </c>
      <c r="N4" s="22">
        <f>21+14+40</f>
        <v>75</v>
      </c>
      <c r="O4" s="21"/>
      <c r="P4" s="22"/>
      <c r="Q4" s="21">
        <f>8+2*3+3*3+5</f>
        <v>28</v>
      </c>
      <c r="R4" s="22">
        <f>28+21+30+16.5</f>
        <v>95.5</v>
      </c>
      <c r="S4" s="21"/>
      <c r="T4" s="22"/>
      <c r="U4" s="21">
        <f>15+2*18+3*11+3+20</f>
        <v>107</v>
      </c>
      <c r="V4" s="22">
        <f>52.5+126+110+9.9+200</f>
        <v>498.4</v>
      </c>
      <c r="W4" s="21">
        <v>48</v>
      </c>
      <c r="X4" s="22">
        <v>168</v>
      </c>
      <c r="Y4" s="21">
        <v>56</v>
      </c>
      <c r="Z4" s="22">
        <v>196</v>
      </c>
      <c r="AA4" s="21">
        <f>16+2*8+3*7+6</f>
        <v>59</v>
      </c>
      <c r="AB4" s="22">
        <f>70+56+56+19.8</f>
        <v>201.8</v>
      </c>
      <c r="AC4" s="21"/>
      <c r="AD4" s="22"/>
      <c r="AE4" s="21">
        <v>35</v>
      </c>
      <c r="AF4" s="22">
        <v>122.5</v>
      </c>
      <c r="AG4" s="21">
        <f>27+2*17+3*17+5</f>
        <v>117</v>
      </c>
      <c r="AH4" s="22">
        <f>94.5+119+170+16.5</f>
        <v>400</v>
      </c>
      <c r="AI4" s="21">
        <v>64</v>
      </c>
      <c r="AJ4" s="22">
        <v>224</v>
      </c>
      <c r="AK4" s="21">
        <f>6+2*11+3*8+4</f>
        <v>56</v>
      </c>
      <c r="AL4" s="22">
        <f>21+77+80+13.2</f>
        <v>191.2</v>
      </c>
      <c r="AM4" s="21"/>
      <c r="AN4" s="22"/>
      <c r="AO4" s="19"/>
      <c r="AP4" s="23">
        <f t="shared" si="0"/>
        <v>2516.5</v>
      </c>
      <c r="AQ4" s="23">
        <f t="shared" si="1"/>
        <v>2385.3080568720379</v>
      </c>
    </row>
    <row r="5" spans="1:43" x14ac:dyDescent="0.25">
      <c r="A5" s="19" t="s">
        <v>27</v>
      </c>
      <c r="B5" s="20" t="s">
        <v>26</v>
      </c>
      <c r="C5" s="21">
        <f>3+2*9+3*24+7+22</f>
        <v>122</v>
      </c>
      <c r="D5" s="22">
        <f>58.2+228+21.7+68.2</f>
        <v>376.09999999999997</v>
      </c>
      <c r="E5" s="21">
        <v>8</v>
      </c>
      <c r="F5" s="22">
        <v>24</v>
      </c>
      <c r="G5" s="21">
        <f>21+2*16+3*38+7+35</f>
        <v>209</v>
      </c>
      <c r="H5" s="22">
        <f>69.3+105.6+361+21.7+113</f>
        <v>670.6</v>
      </c>
      <c r="I5" s="21"/>
      <c r="J5" s="22"/>
      <c r="K5" s="21">
        <f>3+2*10+3*23+5+53</f>
        <v>150</v>
      </c>
      <c r="L5" s="22">
        <f>15.5+218.5+66+9.9+162</f>
        <v>471.9</v>
      </c>
      <c r="M5" s="21">
        <f>17+2*28+3*38+8+25</f>
        <v>220</v>
      </c>
      <c r="N5" s="22">
        <f>56.1+184.8+361+24.8+80</f>
        <v>706.69999999999993</v>
      </c>
      <c r="O5" s="21"/>
      <c r="P5" s="22"/>
      <c r="Q5" s="21">
        <f>2*18+3*28+6+7</f>
        <v>133</v>
      </c>
      <c r="R5" s="22">
        <f>118.8+266+18.6+23.1</f>
        <v>426.50000000000006</v>
      </c>
      <c r="S5" s="21"/>
      <c r="T5" s="22"/>
      <c r="U5" s="21">
        <f>26+2*21+3*20+5</f>
        <v>133</v>
      </c>
      <c r="V5" s="22">
        <f>85.8+138.6+190+15.5</f>
        <v>429.9</v>
      </c>
      <c r="W5" s="21">
        <v>9</v>
      </c>
      <c r="X5" s="22">
        <v>29.7</v>
      </c>
      <c r="Y5" s="21"/>
      <c r="Z5" s="22"/>
      <c r="AA5" s="21">
        <f>8+2*7+3*23+7+3</f>
        <v>101</v>
      </c>
      <c r="AB5" s="22">
        <f>21.7+218.5+46.2+26.4+9.5</f>
        <v>322.29999999999995</v>
      </c>
      <c r="AC5" s="21"/>
      <c r="AD5" s="22"/>
      <c r="AE5" s="21"/>
      <c r="AF5" s="22"/>
      <c r="AG5" s="21">
        <f>34+2*12+3*22+4</f>
        <v>128</v>
      </c>
      <c r="AH5" s="22">
        <f>112.2+79.2+209+12.4</f>
        <v>412.79999999999995</v>
      </c>
      <c r="AI5" s="21"/>
      <c r="AJ5" s="22"/>
      <c r="AK5" s="21">
        <f>11+2*7+3*18+10</f>
        <v>89</v>
      </c>
      <c r="AL5" s="22">
        <f>36.3+46.2+171+31</f>
        <v>284.5</v>
      </c>
      <c r="AM5" s="21"/>
      <c r="AN5" s="22"/>
      <c r="AO5" s="19"/>
      <c r="AP5" s="23">
        <f t="shared" si="0"/>
        <v>4155</v>
      </c>
      <c r="AQ5" s="23">
        <f t="shared" si="1"/>
        <v>3938.3886255924172</v>
      </c>
    </row>
    <row r="6" spans="1:43" x14ac:dyDescent="0.25">
      <c r="A6" s="19" t="s">
        <v>28</v>
      </c>
      <c r="B6" s="20" t="s">
        <v>26</v>
      </c>
      <c r="C6" s="21">
        <f>46+11</f>
        <v>57</v>
      </c>
      <c r="D6" s="22">
        <f>151.8+36.3</f>
        <v>188.10000000000002</v>
      </c>
      <c r="E6" s="21">
        <v>15</v>
      </c>
      <c r="F6" s="22">
        <v>37.5</v>
      </c>
      <c r="G6" s="21">
        <v>10</v>
      </c>
      <c r="H6" s="22">
        <v>33</v>
      </c>
      <c r="I6" s="21">
        <v>100</v>
      </c>
      <c r="J6" s="22">
        <v>312</v>
      </c>
      <c r="K6" s="21">
        <f>15+10</f>
        <v>25</v>
      </c>
      <c r="L6" s="22">
        <f>49.5+30</f>
        <v>79.5</v>
      </c>
      <c r="M6" s="21">
        <v>50</v>
      </c>
      <c r="N6" s="22">
        <v>165</v>
      </c>
      <c r="O6" s="21">
        <v>70</v>
      </c>
      <c r="P6" s="22">
        <v>238</v>
      </c>
      <c r="Q6" s="21">
        <f>11+40</f>
        <v>51</v>
      </c>
      <c r="R6" s="22">
        <v>168.3</v>
      </c>
      <c r="S6" s="21">
        <f>17+8</f>
        <v>25</v>
      </c>
      <c r="T6" s="22">
        <f>48+23</f>
        <v>71</v>
      </c>
      <c r="U6" s="21"/>
      <c r="V6" s="22"/>
      <c r="W6" s="21">
        <v>19</v>
      </c>
      <c r="X6" s="22">
        <v>62.7</v>
      </c>
      <c r="Y6" s="21">
        <v>208</v>
      </c>
      <c r="Z6" s="22">
        <v>208</v>
      </c>
      <c r="AA6" s="21">
        <v>32</v>
      </c>
      <c r="AB6" s="22">
        <v>105.6</v>
      </c>
      <c r="AC6" s="21"/>
      <c r="AD6" s="22">
        <f>28+34</f>
        <v>62</v>
      </c>
      <c r="AE6" s="21">
        <v>17</v>
      </c>
      <c r="AF6" s="22">
        <v>56</v>
      </c>
      <c r="AG6" s="24">
        <v>26</v>
      </c>
      <c r="AH6" s="22">
        <v>85.8</v>
      </c>
      <c r="AI6" s="21">
        <v>70</v>
      </c>
      <c r="AJ6" s="22">
        <v>211</v>
      </c>
      <c r="AK6" s="21">
        <v>27</v>
      </c>
      <c r="AL6" s="22">
        <v>90</v>
      </c>
      <c r="AM6" s="21">
        <v>10</v>
      </c>
      <c r="AN6" s="22">
        <v>30</v>
      </c>
      <c r="AO6" s="19"/>
      <c r="AP6" s="23">
        <f t="shared" si="0"/>
        <v>2203.5</v>
      </c>
      <c r="AQ6" s="23">
        <f t="shared" si="1"/>
        <v>2088.6255924170619</v>
      </c>
    </row>
    <row r="7" spans="1:43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19"/>
      <c r="AP7" s="23">
        <f t="shared" si="0"/>
        <v>0</v>
      </c>
      <c r="AQ7" s="23">
        <f t="shared" si="1"/>
        <v>0</v>
      </c>
    </row>
    <row r="8" spans="1:43" x14ac:dyDescent="0.25">
      <c r="A8" s="19" t="s">
        <v>30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19"/>
      <c r="AP8" s="23">
        <f t="shared" si="0"/>
        <v>0</v>
      </c>
      <c r="AQ8" s="23">
        <f t="shared" si="1"/>
        <v>0</v>
      </c>
    </row>
    <row r="9" spans="1:43" x14ac:dyDescent="0.25">
      <c r="A9" s="19" t="s">
        <v>31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19"/>
      <c r="AP9" s="23">
        <f t="shared" si="0"/>
        <v>0</v>
      </c>
      <c r="AQ9" s="23">
        <f t="shared" si="1"/>
        <v>0</v>
      </c>
    </row>
    <row r="10" spans="1:43" x14ac:dyDescent="0.25">
      <c r="A10" s="19" t="s">
        <v>32</v>
      </c>
      <c r="B10" s="20" t="s">
        <v>26</v>
      </c>
      <c r="C10" s="21"/>
      <c r="D10" s="22"/>
      <c r="E10" s="21"/>
      <c r="F10" s="22"/>
      <c r="G10" s="21"/>
      <c r="H10" s="22"/>
      <c r="I10" s="21"/>
      <c r="J10" s="2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>
        <v>14</v>
      </c>
      <c r="AJ10" s="22">
        <v>39</v>
      </c>
      <c r="AK10" s="21">
        <v>12</v>
      </c>
      <c r="AL10" s="22">
        <v>54</v>
      </c>
      <c r="AM10" s="21"/>
      <c r="AN10" s="22"/>
      <c r="AO10" s="19"/>
      <c r="AP10" s="23">
        <f t="shared" si="0"/>
        <v>93</v>
      </c>
      <c r="AQ10" s="23">
        <f t="shared" si="1"/>
        <v>88.151658767772517</v>
      </c>
    </row>
    <row r="11" spans="1:43" x14ac:dyDescent="0.25">
      <c r="A11" s="19" t="s">
        <v>33</v>
      </c>
      <c r="B11" s="20" t="s">
        <v>34</v>
      </c>
      <c r="C11" s="25"/>
      <c r="D11" s="22"/>
      <c r="E11" s="25"/>
      <c r="F11" s="22"/>
      <c r="G11" s="25"/>
      <c r="H11" s="22"/>
      <c r="I11" s="25"/>
      <c r="J11" s="22"/>
      <c r="K11" s="25"/>
      <c r="L11" s="22"/>
      <c r="M11" s="25"/>
      <c r="N11" s="22"/>
      <c r="O11" s="25"/>
      <c r="P11" s="22"/>
      <c r="Q11" s="25"/>
      <c r="R11" s="22"/>
      <c r="S11" s="25"/>
      <c r="T11" s="22"/>
      <c r="U11" s="25"/>
      <c r="V11" s="22"/>
      <c r="W11" s="25"/>
      <c r="X11" s="22"/>
      <c r="Y11" s="25"/>
      <c r="Z11" s="22"/>
      <c r="AA11" s="25"/>
      <c r="AB11" s="22"/>
      <c r="AC11" s="25"/>
      <c r="AD11" s="22"/>
      <c r="AE11" s="25"/>
      <c r="AF11" s="22"/>
      <c r="AG11" s="25"/>
      <c r="AH11" s="22"/>
      <c r="AI11" s="25"/>
      <c r="AJ11" s="22"/>
      <c r="AK11" s="25"/>
      <c r="AL11" s="22"/>
      <c r="AM11" s="25"/>
      <c r="AN11" s="22"/>
      <c r="AO11" s="19"/>
      <c r="AP11" s="23">
        <f t="shared" si="0"/>
        <v>0</v>
      </c>
      <c r="AQ11" s="23">
        <f t="shared" si="1"/>
        <v>0</v>
      </c>
    </row>
    <row r="12" spans="1:43" x14ac:dyDescent="0.25">
      <c r="A12" s="19" t="s">
        <v>35</v>
      </c>
      <c r="B12" s="20" t="s">
        <v>34</v>
      </c>
      <c r="C12" s="25"/>
      <c r="D12" s="22"/>
      <c r="E12" s="25"/>
      <c r="F12" s="22"/>
      <c r="G12" s="25"/>
      <c r="H12" s="22"/>
      <c r="I12" s="25"/>
      <c r="J12" s="22"/>
      <c r="K12" s="25"/>
      <c r="L12" s="22"/>
      <c r="M12" s="25"/>
      <c r="N12" s="22"/>
      <c r="O12" s="25"/>
      <c r="P12" s="22"/>
      <c r="Q12" s="25"/>
      <c r="R12" s="22"/>
      <c r="S12" s="25"/>
      <c r="T12" s="22"/>
      <c r="U12" s="25"/>
      <c r="V12" s="22"/>
      <c r="W12" s="25"/>
      <c r="X12" s="22"/>
      <c r="Y12" s="25"/>
      <c r="Z12" s="22"/>
      <c r="AA12" s="25"/>
      <c r="AB12" s="22"/>
      <c r="AC12" s="25"/>
      <c r="AD12" s="22"/>
      <c r="AE12" s="25"/>
      <c r="AF12" s="22"/>
      <c r="AG12" s="25"/>
      <c r="AH12" s="22"/>
      <c r="AI12" s="25"/>
      <c r="AJ12" s="22"/>
      <c r="AK12" s="25"/>
      <c r="AL12" s="22"/>
      <c r="AM12" s="25"/>
      <c r="AN12" s="22"/>
      <c r="AO12" s="19"/>
      <c r="AP12" s="23">
        <f t="shared" si="0"/>
        <v>0</v>
      </c>
      <c r="AQ12" s="23">
        <f t="shared" si="1"/>
        <v>0</v>
      </c>
    </row>
    <row r="13" spans="1:43" x14ac:dyDescent="0.25">
      <c r="A13" s="19" t="s">
        <v>36</v>
      </c>
      <c r="B13" s="20" t="s">
        <v>34</v>
      </c>
      <c r="C13" s="25"/>
      <c r="D13" s="22"/>
      <c r="E13" s="25"/>
      <c r="F13" s="22"/>
      <c r="G13" s="25"/>
      <c r="H13" s="22"/>
      <c r="I13" s="25"/>
      <c r="J13" s="22"/>
      <c r="K13" s="25"/>
      <c r="L13" s="22"/>
      <c r="M13" s="25"/>
      <c r="N13" s="22"/>
      <c r="O13" s="25"/>
      <c r="P13" s="22"/>
      <c r="Q13" s="25"/>
      <c r="R13" s="22"/>
      <c r="S13" s="25"/>
      <c r="T13" s="22"/>
      <c r="U13" s="25"/>
      <c r="V13" s="22"/>
      <c r="W13" s="25"/>
      <c r="X13" s="22"/>
      <c r="Y13" s="25"/>
      <c r="Z13" s="22"/>
      <c r="AA13" s="25"/>
      <c r="AB13" s="22"/>
      <c r="AC13" s="25"/>
      <c r="AD13" s="22"/>
      <c r="AE13" s="25"/>
      <c r="AF13" s="22"/>
      <c r="AG13" s="25"/>
      <c r="AH13" s="22"/>
      <c r="AI13" s="25"/>
      <c r="AJ13" s="22"/>
      <c r="AK13" s="25"/>
      <c r="AL13" s="22"/>
      <c r="AM13" s="25"/>
      <c r="AN13" s="22"/>
      <c r="AO13" s="19"/>
      <c r="AP13" s="23">
        <f t="shared" si="0"/>
        <v>0</v>
      </c>
      <c r="AQ13" s="23">
        <f t="shared" si="1"/>
        <v>0</v>
      </c>
    </row>
    <row r="14" spans="1:43" x14ac:dyDescent="0.25">
      <c r="A14" s="19" t="s">
        <v>37</v>
      </c>
      <c r="B14" s="20" t="s">
        <v>34</v>
      </c>
      <c r="C14" s="25"/>
      <c r="D14" s="22"/>
      <c r="E14" s="25"/>
      <c r="F14" s="22"/>
      <c r="G14" s="25"/>
      <c r="H14" s="22"/>
      <c r="I14" s="25"/>
      <c r="J14" s="22"/>
      <c r="K14" s="25"/>
      <c r="L14" s="22"/>
      <c r="M14" s="25"/>
      <c r="N14" s="22"/>
      <c r="O14" s="25"/>
      <c r="P14" s="22"/>
      <c r="Q14" s="25"/>
      <c r="R14" s="22"/>
      <c r="S14" s="25"/>
      <c r="T14" s="22"/>
      <c r="U14" s="25"/>
      <c r="V14" s="22"/>
      <c r="W14" s="25"/>
      <c r="X14" s="22"/>
      <c r="Y14" s="25"/>
      <c r="Z14" s="22"/>
      <c r="AA14" s="25"/>
      <c r="AB14" s="22"/>
      <c r="AC14" s="25"/>
      <c r="AD14" s="22"/>
      <c r="AE14" s="25"/>
      <c r="AF14" s="22"/>
      <c r="AG14" s="25"/>
      <c r="AH14" s="22"/>
      <c r="AI14" s="25"/>
      <c r="AJ14" s="22"/>
      <c r="AK14" s="25"/>
      <c r="AL14" s="22"/>
      <c r="AM14" s="25"/>
      <c r="AN14" s="22"/>
      <c r="AO14" s="19"/>
      <c r="AP14" s="23">
        <f t="shared" si="0"/>
        <v>0</v>
      </c>
      <c r="AQ14" s="23">
        <f t="shared" si="1"/>
        <v>0</v>
      </c>
    </row>
    <row r="15" spans="1:43" x14ac:dyDescent="0.25">
      <c r="A15" s="19" t="s">
        <v>38</v>
      </c>
      <c r="B15" s="20" t="s">
        <v>34</v>
      </c>
      <c r="C15" s="25"/>
      <c r="D15" s="22"/>
      <c r="E15" s="25"/>
      <c r="F15" s="22"/>
      <c r="G15" s="25"/>
      <c r="H15" s="22"/>
      <c r="I15" s="25"/>
      <c r="J15" s="22"/>
      <c r="K15" s="25"/>
      <c r="L15" s="22"/>
      <c r="M15" s="25"/>
      <c r="N15" s="22"/>
      <c r="O15" s="25"/>
      <c r="P15" s="22"/>
      <c r="Q15" s="25"/>
      <c r="R15" s="22"/>
      <c r="S15" s="25"/>
      <c r="T15" s="22"/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5"/>
      <c r="AN15" s="22"/>
      <c r="AO15" s="19"/>
      <c r="AP15" s="23">
        <f t="shared" si="0"/>
        <v>0</v>
      </c>
      <c r="AQ15" s="23">
        <f t="shared" si="1"/>
        <v>0</v>
      </c>
    </row>
    <row r="16" spans="1:43" x14ac:dyDescent="0.25">
      <c r="A16" s="19" t="s">
        <v>39</v>
      </c>
      <c r="B16" s="20" t="s">
        <v>34</v>
      </c>
      <c r="C16"/>
      <c r="D16" s="22"/>
      <c r="E16"/>
      <c r="F16" s="22"/>
      <c r="G16"/>
      <c r="H16" s="22"/>
      <c r="I16"/>
      <c r="J16" s="22"/>
      <c r="K16"/>
      <c r="L16" s="22"/>
      <c r="M16"/>
      <c r="N16" s="22"/>
      <c r="O16"/>
      <c r="P16" s="22"/>
      <c r="Q16"/>
      <c r="R16" s="22"/>
      <c r="S16"/>
      <c r="T16" s="22"/>
      <c r="U16"/>
      <c r="V16" s="22"/>
      <c r="W16"/>
      <c r="X16" s="22"/>
      <c r="Y16"/>
      <c r="Z16" s="22"/>
      <c r="AA16"/>
      <c r="AB16" s="22"/>
      <c r="AC16"/>
      <c r="AD16" s="22"/>
      <c r="AE16"/>
      <c r="AF16" s="22"/>
      <c r="AG16"/>
      <c r="AH16" s="22"/>
      <c r="AI16"/>
      <c r="AJ16" s="22"/>
      <c r="AK16"/>
      <c r="AL16" s="22"/>
      <c r="AM16"/>
      <c r="AN16" s="22"/>
      <c r="AO16" s="19"/>
      <c r="AP16" s="23">
        <f t="shared" si="0"/>
        <v>0</v>
      </c>
      <c r="AQ16" s="23">
        <f t="shared" si="1"/>
        <v>0</v>
      </c>
    </row>
    <row r="17" spans="1:43" x14ac:dyDescent="0.25">
      <c r="A17" s="19" t="s">
        <v>40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19"/>
      <c r="AP17" s="23">
        <f t="shared" si="0"/>
        <v>0</v>
      </c>
      <c r="AQ17" s="23">
        <f t="shared" si="1"/>
        <v>0</v>
      </c>
    </row>
    <row r="18" spans="1:43" x14ac:dyDescent="0.25">
      <c r="A18" s="19" t="s">
        <v>41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19"/>
      <c r="AP18" s="23">
        <f t="shared" si="0"/>
        <v>0</v>
      </c>
      <c r="AQ18" s="23">
        <f t="shared" si="1"/>
        <v>0</v>
      </c>
    </row>
    <row r="19" spans="1:43" x14ac:dyDescent="0.25">
      <c r="A19" s="19" t="s">
        <v>42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25"/>
      <c r="L19" s="22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19"/>
      <c r="AP19" s="23">
        <f t="shared" si="0"/>
        <v>0</v>
      </c>
      <c r="AQ19" s="23">
        <f t="shared" si="1"/>
        <v>0</v>
      </c>
    </row>
    <row r="20" spans="1:43" x14ac:dyDescent="0.25">
      <c r="A20" s="19" t="s">
        <v>43</v>
      </c>
      <c r="B20" s="20" t="s">
        <v>34</v>
      </c>
      <c r="C20" s="25"/>
      <c r="D20" s="22"/>
      <c r="E20" s="25"/>
      <c r="F20" s="22"/>
      <c r="G20" s="25"/>
      <c r="H20" s="22"/>
      <c r="I20" s="25"/>
      <c r="J20" s="22"/>
      <c r="K20" s="25"/>
      <c r="L20" s="22"/>
      <c r="M20" s="25"/>
      <c r="N20" s="22"/>
      <c r="O20" s="25"/>
      <c r="P20" s="22"/>
      <c r="Q20" s="25"/>
      <c r="R20" s="22"/>
      <c r="S20" s="25"/>
      <c r="T20" s="22"/>
      <c r="U20" s="25"/>
      <c r="V20" s="22"/>
      <c r="W20" s="25"/>
      <c r="X20" s="22"/>
      <c r="Y20" s="25"/>
      <c r="Z20" s="22"/>
      <c r="AA20" s="25"/>
      <c r="AB20" s="22"/>
      <c r="AC20" s="25"/>
      <c r="AD20" s="22"/>
      <c r="AE20" s="25"/>
      <c r="AF20" s="22"/>
      <c r="AG20" s="25"/>
      <c r="AH20" s="22"/>
      <c r="AI20" s="25"/>
      <c r="AJ20" s="22"/>
      <c r="AK20" s="25"/>
      <c r="AL20" s="22"/>
      <c r="AM20" s="25"/>
      <c r="AN20" s="22"/>
      <c r="AO20" s="19"/>
      <c r="AP20" s="23">
        <f t="shared" si="0"/>
        <v>0</v>
      </c>
      <c r="AQ20" s="23">
        <f t="shared" si="1"/>
        <v>0</v>
      </c>
    </row>
    <row r="21" spans="1:43" x14ac:dyDescent="0.25">
      <c r="A21" s="19" t="s">
        <v>44</v>
      </c>
      <c r="B21" s="20" t="s">
        <v>34</v>
      </c>
      <c r="C21" s="25"/>
      <c r="D21" s="22"/>
      <c r="E21" s="25"/>
      <c r="F21" s="22"/>
      <c r="G21" s="25"/>
      <c r="H21" s="22"/>
      <c r="I21" s="25"/>
      <c r="J21" s="22"/>
      <c r="K21" s="25"/>
      <c r="L21" s="22"/>
      <c r="M21" s="25"/>
      <c r="N21" s="22"/>
      <c r="O21" s="25"/>
      <c r="P21" s="22"/>
      <c r="Q21" s="25"/>
      <c r="R21" s="22"/>
      <c r="S21" s="25"/>
      <c r="T21" s="22"/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19"/>
      <c r="AP21" s="23">
        <f t="shared" si="0"/>
        <v>0</v>
      </c>
      <c r="AQ21" s="23">
        <f t="shared" si="1"/>
        <v>0</v>
      </c>
    </row>
    <row r="22" spans="1:43" x14ac:dyDescent="0.25">
      <c r="A22" s="19" t="s">
        <v>45</v>
      </c>
      <c r="B22" s="20" t="s">
        <v>34</v>
      </c>
      <c r="C22" s="25"/>
      <c r="D22" s="22"/>
      <c r="E22" s="25"/>
      <c r="F22" s="22"/>
      <c r="G22" s="25"/>
      <c r="H22" s="22"/>
      <c r="I22" s="25"/>
      <c r="J22" s="22"/>
      <c r="K22" s="25"/>
      <c r="L22" s="22"/>
      <c r="M22" s="25"/>
      <c r="N22" s="22"/>
      <c r="O22" s="25"/>
      <c r="P22" s="22"/>
      <c r="Q22" s="25"/>
      <c r="R22" s="22"/>
      <c r="S22" s="25"/>
      <c r="T22" s="22"/>
      <c r="U22" s="25"/>
      <c r="V22" s="22"/>
      <c r="W22" s="25"/>
      <c r="X22" s="22"/>
      <c r="Y22" s="25"/>
      <c r="Z22" s="22"/>
      <c r="AA22" s="25"/>
      <c r="AB22" s="22"/>
      <c r="AC22" s="25"/>
      <c r="AD22" s="22"/>
      <c r="AE22" s="25"/>
      <c r="AF22" s="22"/>
      <c r="AG22" s="25"/>
      <c r="AH22" s="22"/>
      <c r="AI22" s="25"/>
      <c r="AJ22" s="22"/>
      <c r="AK22" s="25"/>
      <c r="AL22" s="22"/>
      <c r="AM22" s="25"/>
      <c r="AN22" s="22"/>
      <c r="AO22" s="19"/>
      <c r="AP22" s="23">
        <f t="shared" si="0"/>
        <v>0</v>
      </c>
      <c r="AQ22" s="23">
        <f t="shared" si="1"/>
        <v>0</v>
      </c>
    </row>
    <row r="23" spans="1:43" s="18" customFormat="1" x14ac:dyDescent="0.25">
      <c r="A23" s="12" t="s">
        <v>46</v>
      </c>
      <c r="B23" s="13"/>
      <c r="C23" s="14"/>
      <c r="D23" s="15">
        <f>SUM(D24:D33)</f>
        <v>43</v>
      </c>
      <c r="E23" s="14"/>
      <c r="F23" s="15">
        <f>SUM(F24:F33)</f>
        <v>0</v>
      </c>
      <c r="G23" s="14"/>
      <c r="H23" s="15">
        <f>SUM(H24:H33)</f>
        <v>0</v>
      </c>
      <c r="I23" s="14"/>
      <c r="J23" s="15">
        <f>SUM(J24:J33)</f>
        <v>9.9</v>
      </c>
      <c r="K23" s="14"/>
      <c r="L23" s="15">
        <f>SUM(L24:L33)</f>
        <v>5</v>
      </c>
      <c r="M23" s="14"/>
      <c r="N23" s="15">
        <f>SUM(N24:N33)</f>
        <v>9.86</v>
      </c>
      <c r="O23" s="14"/>
      <c r="P23" s="15">
        <f>SUM(P24:P33)</f>
        <v>9.9</v>
      </c>
      <c r="Q23" s="14"/>
      <c r="R23" s="15">
        <f>SUM(R24:R33)</f>
        <v>4</v>
      </c>
      <c r="S23" s="14"/>
      <c r="T23" s="15">
        <f>SUM(T24:T33)</f>
        <v>0</v>
      </c>
      <c r="U23" s="14"/>
      <c r="V23" s="15">
        <f>SUM(V24:V33)</f>
        <v>12.64</v>
      </c>
      <c r="W23" s="14"/>
      <c r="X23" s="15">
        <f>SUM(X24:X34)</f>
        <v>97.8</v>
      </c>
      <c r="Y23" s="14"/>
      <c r="Z23" s="15">
        <f>SUM(Z24:Z34)</f>
        <v>71.7</v>
      </c>
      <c r="AA23" s="14"/>
      <c r="AB23" s="15">
        <f>SUM(AB24:AB34)</f>
        <v>12.42</v>
      </c>
      <c r="AC23" s="14"/>
      <c r="AD23" s="15">
        <f>SUM(AD24:AD34)</f>
        <v>0</v>
      </c>
      <c r="AE23" s="14"/>
      <c r="AF23" s="15">
        <f>SUM(AF24:AF34)</f>
        <v>100</v>
      </c>
      <c r="AG23" s="14"/>
      <c r="AH23" s="15">
        <f>SUM(AH24:AH34)</f>
        <v>0</v>
      </c>
      <c r="AI23" s="14"/>
      <c r="AJ23" s="15">
        <f>SUM(AJ24:AJ34)</f>
        <v>42.62</v>
      </c>
      <c r="AK23" s="14"/>
      <c r="AL23" s="15">
        <f>SUM(AL24:AL34)</f>
        <v>10.72</v>
      </c>
      <c r="AM23" s="14"/>
      <c r="AN23" s="15">
        <f>SUM(AN24:AN34)</f>
        <v>0</v>
      </c>
      <c r="AO23" s="12"/>
      <c r="AP23" s="15">
        <f t="shared" si="0"/>
        <v>429.55999999999995</v>
      </c>
      <c r="AQ23" s="15">
        <f t="shared" si="1"/>
        <v>407.16587677725119</v>
      </c>
    </row>
    <row r="24" spans="1:43" x14ac:dyDescent="0.25">
      <c r="A24" s="19" t="s">
        <v>47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25"/>
      <c r="L24" s="22"/>
      <c r="M24" s="25"/>
      <c r="N24" s="22"/>
      <c r="O24" s="25"/>
      <c r="P24" s="22"/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19"/>
      <c r="AP24" s="23">
        <f t="shared" si="0"/>
        <v>0</v>
      </c>
      <c r="AQ24" s="23">
        <f t="shared" si="1"/>
        <v>0</v>
      </c>
    </row>
    <row r="25" spans="1:43" x14ac:dyDescent="0.25">
      <c r="A25" s="19" t="s">
        <v>48</v>
      </c>
      <c r="B25" s="20" t="s">
        <v>34</v>
      </c>
      <c r="C25" s="25">
        <v>10</v>
      </c>
      <c r="D25" s="22">
        <v>20</v>
      </c>
      <c r="E25" s="25"/>
      <c r="F25" s="22"/>
      <c r="G25" s="25"/>
      <c r="H25" s="22"/>
      <c r="I25" s="25"/>
      <c r="J25" s="22"/>
      <c r="K25" s="25">
        <v>2.5</v>
      </c>
      <c r="L25" s="22">
        <v>5</v>
      </c>
      <c r="M25" s="25"/>
      <c r="N25" s="22"/>
      <c r="O25" s="25"/>
      <c r="P25" s="22"/>
      <c r="Q25" s="25">
        <v>2</v>
      </c>
      <c r="R25" s="22">
        <v>4</v>
      </c>
      <c r="S25" s="25"/>
      <c r="T25" s="22"/>
      <c r="U25" s="25"/>
      <c r="V25" s="22"/>
      <c r="W25" s="25"/>
      <c r="X25" s="22"/>
      <c r="Y25" s="25"/>
      <c r="Z25" s="22"/>
      <c r="AA25" s="25">
        <v>6.21</v>
      </c>
      <c r="AB25" s="22">
        <v>12.42</v>
      </c>
      <c r="AC25" s="25"/>
      <c r="AD25" s="22"/>
      <c r="AE25" s="25"/>
      <c r="AF25" s="22"/>
      <c r="AG25" s="25"/>
      <c r="AH25" s="22"/>
      <c r="AI25" s="25"/>
      <c r="AJ25" s="22"/>
      <c r="AK25" s="25">
        <v>5.36</v>
      </c>
      <c r="AL25" s="22">
        <v>10.72</v>
      </c>
      <c r="AM25" s="25"/>
      <c r="AN25" s="22"/>
      <c r="AO25" s="19"/>
      <c r="AP25" s="23">
        <f t="shared" si="0"/>
        <v>52.14</v>
      </c>
      <c r="AQ25" s="23">
        <f t="shared" si="1"/>
        <v>49.421800947867304</v>
      </c>
    </row>
    <row r="26" spans="1:43" x14ac:dyDescent="0.25">
      <c r="A26" s="19" t="s">
        <v>49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25"/>
      <c r="L26" s="22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19"/>
      <c r="AP26" s="23">
        <f t="shared" si="0"/>
        <v>0</v>
      </c>
      <c r="AQ26" s="23">
        <f t="shared" si="1"/>
        <v>0</v>
      </c>
    </row>
    <row r="27" spans="1:43" x14ac:dyDescent="0.25">
      <c r="A27" s="19" t="s">
        <v>50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19"/>
      <c r="AP27" s="23">
        <f t="shared" si="0"/>
        <v>0</v>
      </c>
      <c r="AQ27" s="23">
        <f t="shared" si="1"/>
        <v>0</v>
      </c>
    </row>
    <row r="28" spans="1:43" x14ac:dyDescent="0.25">
      <c r="A28" s="19" t="s">
        <v>51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19"/>
      <c r="AP28" s="23">
        <f t="shared" si="0"/>
        <v>0</v>
      </c>
      <c r="AQ28" s="23">
        <f t="shared" si="1"/>
        <v>0</v>
      </c>
    </row>
    <row r="29" spans="1:43" x14ac:dyDescent="0.25">
      <c r="A29" s="19" t="s">
        <v>52</v>
      </c>
      <c r="B29" s="20" t="s">
        <v>53</v>
      </c>
      <c r="C29" s="25"/>
      <c r="D29" s="22"/>
      <c r="E29" s="25"/>
      <c r="F29" s="22"/>
      <c r="G29" s="25"/>
      <c r="H29" s="22"/>
      <c r="I29" s="25">
        <v>3</v>
      </c>
      <c r="J29" s="22">
        <v>4.5</v>
      </c>
      <c r="K29" s="25"/>
      <c r="L29" s="22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19"/>
      <c r="AP29" s="23">
        <f t="shared" si="0"/>
        <v>4.5</v>
      </c>
      <c r="AQ29" s="23">
        <f t="shared" si="1"/>
        <v>4.2654028436018958</v>
      </c>
    </row>
    <row r="30" spans="1:43" x14ac:dyDescent="0.25">
      <c r="A30" s="19" t="s">
        <v>54</v>
      </c>
      <c r="B30" s="20" t="s">
        <v>55</v>
      </c>
      <c r="C30" s="25"/>
      <c r="D30" s="22"/>
      <c r="E30" s="25"/>
      <c r="F30" s="22"/>
      <c r="G30" s="25"/>
      <c r="H30" s="22"/>
      <c r="I30" s="25">
        <v>6</v>
      </c>
      <c r="J30" s="22">
        <v>5.4</v>
      </c>
      <c r="K30" s="25"/>
      <c r="L30" s="22"/>
      <c r="M30" s="25"/>
      <c r="N30" s="22"/>
      <c r="O30" s="25">
        <v>11</v>
      </c>
      <c r="P30" s="22">
        <v>9.9</v>
      </c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19"/>
      <c r="AP30" s="23">
        <f t="shared" si="0"/>
        <v>15.3</v>
      </c>
      <c r="AQ30" s="23">
        <f t="shared" si="1"/>
        <v>14.502369668246446</v>
      </c>
    </row>
    <row r="31" spans="1:43" x14ac:dyDescent="0.25">
      <c r="A31" s="19" t="s">
        <v>56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25"/>
      <c r="L31" s="22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19"/>
      <c r="AP31" s="23">
        <f t="shared" si="0"/>
        <v>0</v>
      </c>
      <c r="AQ31" s="23">
        <f t="shared" si="1"/>
        <v>0</v>
      </c>
    </row>
    <row r="32" spans="1:43" x14ac:dyDescent="0.25">
      <c r="A32" s="19" t="s">
        <v>57</v>
      </c>
      <c r="B32" s="20" t="s">
        <v>53</v>
      </c>
      <c r="C32" s="25"/>
      <c r="D32" s="22"/>
      <c r="E32" s="25"/>
      <c r="F32" s="22"/>
      <c r="G32" s="25"/>
      <c r="H32" s="22"/>
      <c r="I32" s="25"/>
      <c r="J32" s="22"/>
      <c r="K32" s="25"/>
      <c r="L32" s="22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>
        <v>4</v>
      </c>
      <c r="X32" s="22">
        <v>4.8</v>
      </c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19"/>
      <c r="AP32" s="23">
        <f t="shared" si="0"/>
        <v>4.8</v>
      </c>
      <c r="AQ32" s="23">
        <f t="shared" si="1"/>
        <v>4.5497630331753554</v>
      </c>
    </row>
    <row r="33" spans="1:43" x14ac:dyDescent="0.25">
      <c r="A33" s="19" t="s">
        <v>58</v>
      </c>
      <c r="B33" s="20" t="s">
        <v>34</v>
      </c>
      <c r="C33" s="25">
        <v>5</v>
      </c>
      <c r="D33" s="22">
        <v>23</v>
      </c>
      <c r="E33" s="25"/>
      <c r="F33" s="22"/>
      <c r="G33" s="25"/>
      <c r="H33" s="22"/>
      <c r="I33" s="25"/>
      <c r="J33" s="22"/>
      <c r="K33" s="25"/>
      <c r="L33" s="22"/>
      <c r="M33" s="25">
        <v>2.145</v>
      </c>
      <c r="N33" s="22">
        <v>9.86</v>
      </c>
      <c r="O33" s="25"/>
      <c r="P33" s="22"/>
      <c r="Q33" s="25"/>
      <c r="R33" s="22"/>
      <c r="S33" s="25"/>
      <c r="T33" s="22"/>
      <c r="U33" s="25">
        <v>2.7450000000000001</v>
      </c>
      <c r="V33" s="22">
        <v>12.64</v>
      </c>
      <c r="W33" s="25"/>
      <c r="X33" s="22"/>
      <c r="Y33" s="25"/>
      <c r="Z33" s="22"/>
      <c r="AA33" s="25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19"/>
      <c r="AP33" s="23">
        <f t="shared" si="0"/>
        <v>45.5</v>
      </c>
      <c r="AQ33" s="23">
        <f t="shared" si="1"/>
        <v>43.127962085308056</v>
      </c>
    </row>
    <row r="34" spans="1:43" x14ac:dyDescent="0.25">
      <c r="A34" s="19" t="s">
        <v>59</v>
      </c>
      <c r="B34" s="20"/>
      <c r="C34" s="25"/>
      <c r="D34" s="22"/>
      <c r="E34" s="25"/>
      <c r="F34" s="22"/>
      <c r="G34" s="25"/>
      <c r="H34" s="22"/>
      <c r="I34" s="25"/>
      <c r="J34" s="22"/>
      <c r="K34" s="25"/>
      <c r="L34" s="22"/>
      <c r="M34" s="25"/>
      <c r="N34" s="22"/>
      <c r="O34" s="25"/>
      <c r="P34" s="22"/>
      <c r="Q34" s="25"/>
      <c r="R34" s="22"/>
      <c r="S34" s="25"/>
      <c r="T34" s="22"/>
      <c r="U34" s="25"/>
      <c r="V34" s="22"/>
      <c r="W34" s="25"/>
      <c r="X34" s="22">
        <v>93</v>
      </c>
      <c r="Y34" s="25"/>
      <c r="Z34" s="22">
        <v>71.7</v>
      </c>
      <c r="AA34" s="25"/>
      <c r="AB34" s="22"/>
      <c r="AC34" s="25"/>
      <c r="AD34" s="22"/>
      <c r="AE34" s="25"/>
      <c r="AF34" s="22">
        <v>100</v>
      </c>
      <c r="AG34" s="25"/>
      <c r="AH34" s="22"/>
      <c r="AI34" s="25"/>
      <c r="AJ34" s="22">
        <v>42.62</v>
      </c>
      <c r="AK34" s="25"/>
      <c r="AL34" s="22"/>
      <c r="AM34" s="25"/>
      <c r="AN34" s="22"/>
      <c r="AO34" s="19"/>
      <c r="AP34" s="23">
        <f t="shared" si="0"/>
        <v>307.32</v>
      </c>
      <c r="AQ34" s="23">
        <f t="shared" si="1"/>
        <v>291.29857819905214</v>
      </c>
    </row>
    <row r="35" spans="1:43" s="18" customFormat="1" x14ac:dyDescent="0.25">
      <c r="A35" s="12" t="s">
        <v>60</v>
      </c>
      <c r="B35" s="13"/>
      <c r="C35" s="14"/>
      <c r="D35" s="15">
        <f>SUM(D36:D42)</f>
        <v>45.29</v>
      </c>
      <c r="E35" s="14"/>
      <c r="F35" s="15">
        <f>SUM(F36:F42)</f>
        <v>5.4</v>
      </c>
      <c r="G35" s="14"/>
      <c r="H35" s="15">
        <f>SUM(H36:H42)</f>
        <v>246.88</v>
      </c>
      <c r="I35" s="14"/>
      <c r="J35" s="15">
        <f>SUM(J36:J42)</f>
        <v>0</v>
      </c>
      <c r="K35" s="14"/>
      <c r="L35" s="15">
        <f>SUM(L36:L42)</f>
        <v>67.94</v>
      </c>
      <c r="M35" s="14"/>
      <c r="N35" s="15">
        <f>SUM(N36:N42)</f>
        <v>142.98999999999998</v>
      </c>
      <c r="O35" s="14"/>
      <c r="P35" s="15">
        <f>SUM(P36:P42)</f>
        <v>4</v>
      </c>
      <c r="Q35" s="14"/>
      <c r="R35" s="15">
        <f>SUM(R36:R42)</f>
        <v>37.559999999999995</v>
      </c>
      <c r="S35" s="14"/>
      <c r="T35" s="15">
        <f>SUM(T36:T42)</f>
        <v>19.7</v>
      </c>
      <c r="U35" s="14"/>
      <c r="V35" s="15">
        <f>SUM(V36:V42)</f>
        <v>123.18</v>
      </c>
      <c r="W35" s="14"/>
      <c r="X35" s="15">
        <v>36.700000000000003</v>
      </c>
      <c r="Y35" s="14"/>
      <c r="Z35" s="15">
        <v>24</v>
      </c>
      <c r="AA35" s="14"/>
      <c r="AB35" s="15">
        <f>SUM(AB36:AB42)</f>
        <v>57.190000000000005</v>
      </c>
      <c r="AC35" s="14"/>
      <c r="AD35" s="15">
        <f>SUM(AD36:AD42)</f>
        <v>7.0299999999999994</v>
      </c>
      <c r="AE35" s="14"/>
      <c r="AF35" s="15">
        <v>64</v>
      </c>
      <c r="AG35" s="14"/>
      <c r="AH35" s="15">
        <f>SUM(AH36:AH42)</f>
        <v>102.52</v>
      </c>
      <c r="AI35" s="14"/>
      <c r="AJ35" s="15">
        <v>12</v>
      </c>
      <c r="AK35" s="14"/>
      <c r="AL35" s="15">
        <f>SUM(AL36:AL42)</f>
        <v>46.28</v>
      </c>
      <c r="AM35" s="14"/>
      <c r="AN35" s="15">
        <f>SUM(AN36:AN42)</f>
        <v>26.630000000000003</v>
      </c>
      <c r="AO35" s="12"/>
      <c r="AP35" s="15">
        <f t="shared" si="0"/>
        <v>1069.29</v>
      </c>
      <c r="AQ35" s="15">
        <f t="shared" si="1"/>
        <v>1013.5450236966825</v>
      </c>
    </row>
    <row r="36" spans="1:43" x14ac:dyDescent="0.25">
      <c r="A36" s="19" t="s">
        <v>61</v>
      </c>
      <c r="B36" s="20" t="s">
        <v>34</v>
      </c>
      <c r="C36" s="25">
        <v>0.14000000000000001</v>
      </c>
      <c r="D36" s="22">
        <v>3.22</v>
      </c>
      <c r="E36" s="25">
        <v>0.25</v>
      </c>
      <c r="F36" s="22">
        <v>3.5</v>
      </c>
      <c r="G36" s="25">
        <v>2.14</v>
      </c>
      <c r="H36" s="22">
        <v>49.24</v>
      </c>
      <c r="I36" s="25"/>
      <c r="J36" s="22"/>
      <c r="K36" s="25">
        <v>0.16</v>
      </c>
      <c r="L36" s="22">
        <v>3.68</v>
      </c>
      <c r="M36" s="25">
        <v>1.6</v>
      </c>
      <c r="N36" s="22">
        <v>36.83</v>
      </c>
      <c r="O36" s="25"/>
      <c r="P36" s="22"/>
      <c r="Q36" s="25">
        <v>0.215</v>
      </c>
      <c r="R36" s="22">
        <v>4.95</v>
      </c>
      <c r="S36" s="25"/>
      <c r="T36" s="22"/>
      <c r="U36" s="25">
        <v>1.915</v>
      </c>
      <c r="V36" s="22">
        <v>44.06</v>
      </c>
      <c r="W36" s="25"/>
      <c r="X36" s="22"/>
      <c r="Y36" s="25"/>
      <c r="Z36" s="22"/>
      <c r="AA36" s="25">
        <v>0.245</v>
      </c>
      <c r="AB36" s="22">
        <v>5.64</v>
      </c>
      <c r="AC36" s="25"/>
      <c r="AD36" s="22"/>
      <c r="AE36" s="25"/>
      <c r="AF36" s="22"/>
      <c r="AG36" s="25">
        <v>0.6</v>
      </c>
      <c r="AH36" s="22">
        <v>13.8</v>
      </c>
      <c r="AI36" s="25"/>
      <c r="AJ36" s="22"/>
      <c r="AK36" s="25">
        <v>0.495</v>
      </c>
      <c r="AL36" s="22">
        <v>11.39</v>
      </c>
      <c r="AM36" s="25"/>
      <c r="AN36" s="22">
        <v>10.97</v>
      </c>
      <c r="AO36" s="19"/>
      <c r="AP36" s="23">
        <f t="shared" si="0"/>
        <v>187.28</v>
      </c>
      <c r="AQ36" s="23">
        <f t="shared" si="1"/>
        <v>177.51658767772514</v>
      </c>
    </row>
    <row r="37" spans="1:43" x14ac:dyDescent="0.25">
      <c r="A37" s="19" t="s">
        <v>62</v>
      </c>
      <c r="B37" s="20" t="s">
        <v>34</v>
      </c>
      <c r="C37" s="1">
        <v>0.18</v>
      </c>
      <c r="D37" s="22">
        <v>4.1399999999999997</v>
      </c>
      <c r="E37"/>
      <c r="F37" s="22"/>
      <c r="G37" s="1">
        <v>0.84499999999999997</v>
      </c>
      <c r="H37" s="22">
        <v>19.46</v>
      </c>
      <c r="I37"/>
      <c r="J37" s="22"/>
      <c r="K37" s="1">
        <v>0.105</v>
      </c>
      <c r="L37" s="22">
        <v>2.42</v>
      </c>
      <c r="M37"/>
      <c r="N37" s="22"/>
      <c r="O37"/>
      <c r="P37" s="22"/>
      <c r="Q37" s="1">
        <v>8.5000000000000006E-2</v>
      </c>
      <c r="R37" s="22">
        <v>1.96</v>
      </c>
      <c r="S37"/>
      <c r="T37" s="22"/>
      <c r="U37" s="1">
        <v>0.33</v>
      </c>
      <c r="V37" s="22">
        <v>7.59</v>
      </c>
      <c r="W37"/>
      <c r="X37" s="22"/>
      <c r="Y37"/>
      <c r="Z37" s="22"/>
      <c r="AA37" s="1">
        <v>0.06</v>
      </c>
      <c r="AB37" s="22">
        <v>1.38</v>
      </c>
      <c r="AC37"/>
      <c r="AD37" s="22">
        <v>1.52</v>
      </c>
      <c r="AE37"/>
      <c r="AF37" s="22"/>
      <c r="AG37" s="1">
        <v>0.37</v>
      </c>
      <c r="AH37" s="22">
        <v>8.52</v>
      </c>
      <c r="AI37"/>
      <c r="AJ37" s="22"/>
      <c r="AK37"/>
      <c r="AL37" s="22"/>
      <c r="AM37"/>
      <c r="AN37" s="22"/>
      <c r="AO37" s="19"/>
      <c r="AP37" s="23">
        <f t="shared" si="0"/>
        <v>46.99</v>
      </c>
      <c r="AQ37" s="23">
        <f t="shared" si="1"/>
        <v>44.540284360189581</v>
      </c>
    </row>
    <row r="38" spans="1:43" x14ac:dyDescent="0.25">
      <c r="A38" s="19" t="s">
        <v>63</v>
      </c>
      <c r="B38" s="20" t="s">
        <v>34</v>
      </c>
      <c r="C38"/>
      <c r="D38" s="22"/>
      <c r="E38" s="1">
        <v>0.1</v>
      </c>
      <c r="F38" s="22">
        <v>1.9</v>
      </c>
      <c r="G38" s="1">
        <v>1.155</v>
      </c>
      <c r="H38" s="22">
        <v>26.57</v>
      </c>
      <c r="I38"/>
      <c r="J38" s="22"/>
      <c r="K38" s="1">
        <v>0.12</v>
      </c>
      <c r="L38" s="22">
        <v>2.76</v>
      </c>
      <c r="M38" s="1">
        <v>0.22500000000000001</v>
      </c>
      <c r="N38" s="22">
        <v>5.18</v>
      </c>
      <c r="O38"/>
      <c r="P38" s="22"/>
      <c r="Q38" s="1">
        <v>0.105</v>
      </c>
      <c r="R38" s="22">
        <v>2.42</v>
      </c>
      <c r="S38"/>
      <c r="T38" s="22">
        <v>14.48</v>
      </c>
      <c r="U38" s="1">
        <v>0.24</v>
      </c>
      <c r="V38" s="22">
        <v>5.53</v>
      </c>
      <c r="W38"/>
      <c r="X38" s="22"/>
      <c r="Y38"/>
      <c r="Z38" s="22"/>
      <c r="AA38" s="1">
        <v>0.435</v>
      </c>
      <c r="AB38" s="22">
        <v>10.01</v>
      </c>
      <c r="AC38"/>
      <c r="AD38" s="22">
        <v>5.51</v>
      </c>
      <c r="AE38"/>
      <c r="AF38" s="22"/>
      <c r="AG38" s="1">
        <v>0.315</v>
      </c>
      <c r="AH38" s="22">
        <v>7.25</v>
      </c>
      <c r="AI38"/>
      <c r="AJ38" s="22"/>
      <c r="AK38"/>
      <c r="AL38" s="22"/>
      <c r="AM38"/>
      <c r="AN38" s="22">
        <v>11.34</v>
      </c>
      <c r="AO38" s="19"/>
      <c r="AP38" s="23">
        <f t="shared" si="0"/>
        <v>92.950000000000017</v>
      </c>
      <c r="AQ38" s="23">
        <f t="shared" si="1"/>
        <v>88.104265402843623</v>
      </c>
    </row>
    <row r="39" spans="1:43" x14ac:dyDescent="0.25">
      <c r="A39" s="19" t="s">
        <v>64</v>
      </c>
      <c r="B39" s="20" t="s">
        <v>34</v>
      </c>
      <c r="C39" s="25">
        <v>0.37</v>
      </c>
      <c r="D39" s="22">
        <v>14.44</v>
      </c>
      <c r="E39" s="25"/>
      <c r="F39" s="22"/>
      <c r="G39" s="25">
        <v>1.9750000000000001</v>
      </c>
      <c r="H39" s="22">
        <v>77.05</v>
      </c>
      <c r="I39" s="25"/>
      <c r="J39" s="22"/>
      <c r="K39" s="25">
        <v>0.85</v>
      </c>
      <c r="L39" s="22">
        <v>33.17</v>
      </c>
      <c r="M39" s="25">
        <v>0.68500000000000005</v>
      </c>
      <c r="N39" s="22">
        <v>26.73</v>
      </c>
      <c r="O39" s="25"/>
      <c r="P39" s="22"/>
      <c r="Q39" s="25">
        <v>0.46500000000000002</v>
      </c>
      <c r="R39" s="22">
        <v>18.149999999999999</v>
      </c>
      <c r="S39" s="25"/>
      <c r="T39" s="22">
        <v>5.22</v>
      </c>
      <c r="U39" s="25">
        <v>0.75</v>
      </c>
      <c r="V39" s="22">
        <v>29.26</v>
      </c>
      <c r="W39" s="25"/>
      <c r="X39" s="22"/>
      <c r="Y39" s="25">
        <v>1.9</v>
      </c>
      <c r="Z39" s="22">
        <v>14</v>
      </c>
      <c r="AA39" s="25">
        <v>0.28000000000000003</v>
      </c>
      <c r="AB39" s="22">
        <v>10.93</v>
      </c>
      <c r="AC39" s="25"/>
      <c r="AD39" s="22"/>
      <c r="AE39" s="25"/>
      <c r="AF39" s="22"/>
      <c r="AG39" s="25">
        <v>0.82499999999999996</v>
      </c>
      <c r="AH39" s="22">
        <v>32.21</v>
      </c>
      <c r="AI39" s="25"/>
      <c r="AJ39" s="22"/>
      <c r="AK39" s="25">
        <v>0.34</v>
      </c>
      <c r="AL39" s="22">
        <v>13.27</v>
      </c>
      <c r="AM39" s="25"/>
      <c r="AN39" s="22">
        <v>4.32</v>
      </c>
      <c r="AO39" s="19"/>
      <c r="AP39" s="23">
        <f t="shared" si="0"/>
        <v>278.75</v>
      </c>
      <c r="AQ39" s="23">
        <f t="shared" si="1"/>
        <v>264.21800947867303</v>
      </c>
    </row>
    <row r="40" spans="1:43" x14ac:dyDescent="0.25">
      <c r="A40" s="19" t="s">
        <v>65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22"/>
      <c r="M40" s="25"/>
      <c r="N40" s="22"/>
      <c r="O40" s="25"/>
      <c r="P40" s="22"/>
      <c r="Q40" s="25"/>
      <c r="R40" s="22"/>
      <c r="S40" s="25"/>
      <c r="T40" s="22"/>
      <c r="U40" s="25"/>
      <c r="V40" s="22"/>
      <c r="W40" s="25"/>
      <c r="X40" s="22"/>
      <c r="Y40" s="25"/>
      <c r="Z40" s="22"/>
      <c r="AA40" s="25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19"/>
      <c r="AP40" s="23">
        <f t="shared" si="0"/>
        <v>0</v>
      </c>
      <c r="AQ40" s="23">
        <f t="shared" si="1"/>
        <v>0</v>
      </c>
    </row>
    <row r="41" spans="1:43" x14ac:dyDescent="0.25">
      <c r="A41" s="19" t="s">
        <v>66</v>
      </c>
      <c r="B41" s="20" t="s">
        <v>34</v>
      </c>
      <c r="C41" s="25">
        <v>1.855</v>
      </c>
      <c r="D41" s="22">
        <v>17.62</v>
      </c>
      <c r="E41" s="25"/>
      <c r="F41" s="22"/>
      <c r="G41" s="25">
        <v>6.72</v>
      </c>
      <c r="H41" s="22">
        <v>63.86</v>
      </c>
      <c r="I41" s="25"/>
      <c r="J41" s="22"/>
      <c r="K41" s="25">
        <v>2.375</v>
      </c>
      <c r="L41" s="22">
        <v>22.57</v>
      </c>
      <c r="M41" s="25">
        <v>7.4749999999999996</v>
      </c>
      <c r="N41" s="22">
        <v>71.03</v>
      </c>
      <c r="O41" s="25">
        <v>0.42</v>
      </c>
      <c r="P41" s="22">
        <v>4</v>
      </c>
      <c r="Q41" s="25">
        <v>1.06</v>
      </c>
      <c r="R41" s="22">
        <v>10.08</v>
      </c>
      <c r="S41" s="25"/>
      <c r="T41" s="22"/>
      <c r="U41" s="25">
        <v>2.895</v>
      </c>
      <c r="V41" s="22">
        <v>27.53</v>
      </c>
      <c r="W41" s="25"/>
      <c r="X41" s="22"/>
      <c r="Y41" s="25"/>
      <c r="Z41" s="22"/>
      <c r="AA41" s="25">
        <v>2.7</v>
      </c>
      <c r="AB41" s="22">
        <v>25.66</v>
      </c>
      <c r="AC41" s="25"/>
      <c r="AD41" s="22"/>
      <c r="AE41" s="25"/>
      <c r="AF41" s="22"/>
      <c r="AG41" s="25">
        <v>3.8849999999999998</v>
      </c>
      <c r="AH41" s="22">
        <v>36.94</v>
      </c>
      <c r="AI41" s="25"/>
      <c r="AJ41" s="22"/>
      <c r="AK41" s="25">
        <v>1.9</v>
      </c>
      <c r="AL41" s="22">
        <v>18.05</v>
      </c>
      <c r="AM41" s="25"/>
      <c r="AN41" s="22"/>
      <c r="AO41" s="19"/>
      <c r="AP41" s="23">
        <f t="shared" si="0"/>
        <v>297.33999999999997</v>
      </c>
      <c r="AQ41" s="23">
        <f t="shared" si="1"/>
        <v>281.8388625592417</v>
      </c>
    </row>
    <row r="42" spans="1:43" x14ac:dyDescent="0.25">
      <c r="A42" s="19" t="s">
        <v>38</v>
      </c>
      <c r="B42" s="20" t="s">
        <v>34</v>
      </c>
      <c r="C42" s="25">
        <v>0.255</v>
      </c>
      <c r="D42" s="22">
        <v>5.87</v>
      </c>
      <c r="E42" s="25"/>
      <c r="F42" s="22"/>
      <c r="G42" s="25">
        <v>0.46500000000000002</v>
      </c>
      <c r="H42" s="22">
        <v>10.7</v>
      </c>
      <c r="I42" s="25"/>
      <c r="J42" s="22"/>
      <c r="K42" s="25">
        <v>0.14499999999999999</v>
      </c>
      <c r="L42" s="22">
        <v>3.34</v>
      </c>
      <c r="M42" s="25">
        <v>0.14000000000000001</v>
      </c>
      <c r="N42" s="22">
        <v>3.22</v>
      </c>
      <c r="O42" s="25"/>
      <c r="P42" s="22"/>
      <c r="Q42" s="25"/>
      <c r="R42" s="22"/>
      <c r="S42" s="25"/>
      <c r="T42" s="22"/>
      <c r="U42" s="25">
        <v>0.4</v>
      </c>
      <c r="V42" s="22">
        <v>9.2100000000000009</v>
      </c>
      <c r="W42" s="25"/>
      <c r="X42" s="22"/>
      <c r="Y42" s="25"/>
      <c r="Z42" s="22"/>
      <c r="AA42" s="25">
        <v>0.155</v>
      </c>
      <c r="AB42" s="22">
        <v>3.57</v>
      </c>
      <c r="AC42" s="25"/>
      <c r="AD42" s="22"/>
      <c r="AE42" s="25"/>
      <c r="AF42" s="22"/>
      <c r="AG42" s="25">
        <v>0.16500000000000001</v>
      </c>
      <c r="AH42" s="22">
        <v>3.8</v>
      </c>
      <c r="AI42" s="25"/>
      <c r="AJ42" s="22"/>
      <c r="AK42" s="25">
        <v>0.155</v>
      </c>
      <c r="AL42" s="22">
        <v>3.57</v>
      </c>
      <c r="AM42" s="25"/>
      <c r="AN42" s="22"/>
      <c r="AO42" s="19"/>
      <c r="AP42" s="23">
        <f t="shared" si="0"/>
        <v>43.279999999999994</v>
      </c>
      <c r="AQ42" s="23">
        <f t="shared" si="1"/>
        <v>41.023696682464454</v>
      </c>
    </row>
    <row r="43" spans="1:43" s="18" customFormat="1" x14ac:dyDescent="0.25">
      <c r="A43" s="12" t="s">
        <v>67</v>
      </c>
      <c r="B43" s="13"/>
      <c r="C43" s="14"/>
      <c r="D43" s="15">
        <f>SUM(D44:D45)</f>
        <v>0</v>
      </c>
      <c r="E43" s="14"/>
      <c r="F43" s="15">
        <f>SUM(F44:F45)</f>
        <v>0</v>
      </c>
      <c r="G43" s="14"/>
      <c r="H43" s="15">
        <f>SUM(H44:H45)</f>
        <v>2.2999999999999998</v>
      </c>
      <c r="I43" s="14"/>
      <c r="J43" s="15">
        <f>SUM(J44:J45)</f>
        <v>0</v>
      </c>
      <c r="K43" s="14"/>
      <c r="L43" s="15">
        <f>SUM(L44:L45)</f>
        <v>0</v>
      </c>
      <c r="M43" s="14"/>
      <c r="N43" s="15">
        <f>SUM(N44:N45)</f>
        <v>2.9</v>
      </c>
      <c r="O43" s="14"/>
      <c r="P43" s="15">
        <f>SUM(P44:P45)</f>
        <v>0</v>
      </c>
      <c r="Q43" s="14"/>
      <c r="R43" s="15">
        <f>SUM(R44:R45)</f>
        <v>4.5999999999999996</v>
      </c>
      <c r="S43" s="14"/>
      <c r="T43" s="15">
        <f>SUM(T44:T45)</f>
        <v>0</v>
      </c>
      <c r="U43" s="14"/>
      <c r="V43" s="15">
        <f>SUM(V44:V45)</f>
        <v>4.5999999999999996</v>
      </c>
      <c r="W43" s="14">
        <v>2</v>
      </c>
      <c r="X43" s="15">
        <v>5.4</v>
      </c>
      <c r="Y43" s="14"/>
      <c r="Z43" s="15">
        <f>SUM(Z44:Z45)</f>
        <v>16.5</v>
      </c>
      <c r="AA43" s="14"/>
      <c r="AB43" s="15"/>
      <c r="AC43" s="14"/>
      <c r="AD43" s="15">
        <f>SUM(AD44:AD45)</f>
        <v>0</v>
      </c>
      <c r="AE43" s="14"/>
      <c r="AF43" s="15">
        <f>SUM(AF44:AF45)</f>
        <v>11.149999999999999</v>
      </c>
      <c r="AG43" s="14"/>
      <c r="AH43" s="15">
        <f>SUM(AH44:AH45)</f>
        <v>5.1999999999999993</v>
      </c>
      <c r="AI43" s="14"/>
      <c r="AJ43" s="15">
        <f>SUM(AJ44:AJ45)</f>
        <v>7.5</v>
      </c>
      <c r="AK43" s="14"/>
      <c r="AL43" s="15"/>
      <c r="AM43" s="14"/>
      <c r="AN43" s="15">
        <f>SUM(AN44:AN45)</f>
        <v>0</v>
      </c>
      <c r="AO43" s="12"/>
      <c r="AP43" s="15">
        <f t="shared" si="0"/>
        <v>60.149999999999991</v>
      </c>
      <c r="AQ43" s="15">
        <f t="shared" si="1"/>
        <v>57.014218009478668</v>
      </c>
    </row>
    <row r="44" spans="1:43" x14ac:dyDescent="0.25">
      <c r="A44" s="19" t="s">
        <v>68</v>
      </c>
      <c r="B44" s="20" t="s">
        <v>69</v>
      </c>
      <c r="C44" s="21"/>
      <c r="D44" s="22"/>
      <c r="E44" s="21"/>
      <c r="F44" s="22"/>
      <c r="G44" s="21">
        <v>1</v>
      </c>
      <c r="H44" s="22">
        <v>2.2999999999999998</v>
      </c>
      <c r="I44" s="21"/>
      <c r="J44" s="22"/>
      <c r="K44" s="21"/>
      <c r="L44" s="22"/>
      <c r="M44" s="21"/>
      <c r="N44" s="22"/>
      <c r="O44" s="21"/>
      <c r="P44" s="22"/>
      <c r="Q44" s="21">
        <v>2</v>
      </c>
      <c r="R44" s="22">
        <v>4.5999999999999996</v>
      </c>
      <c r="S44" s="21"/>
      <c r="T44" s="22"/>
      <c r="U44" s="21">
        <v>2</v>
      </c>
      <c r="V44" s="22">
        <v>4.5999999999999996</v>
      </c>
      <c r="W44" s="21"/>
      <c r="X44" s="22"/>
      <c r="Y44" s="21">
        <v>2</v>
      </c>
      <c r="Z44" s="22">
        <v>4.5999999999999996</v>
      </c>
      <c r="AA44" s="21"/>
      <c r="AB44" s="22"/>
      <c r="AC44" s="21"/>
      <c r="AD44" s="22"/>
      <c r="AE44" s="21">
        <v>1</v>
      </c>
      <c r="AF44" s="22">
        <v>2.2999999999999998</v>
      </c>
      <c r="AG44" s="21">
        <v>1</v>
      </c>
      <c r="AH44" s="22">
        <v>2.2999999999999998</v>
      </c>
      <c r="AI44" s="21">
        <v>3</v>
      </c>
      <c r="AJ44" s="22">
        <v>7.5</v>
      </c>
      <c r="AK44" s="21">
        <v>2</v>
      </c>
      <c r="AL44" s="22">
        <v>4.5999999999999996</v>
      </c>
      <c r="AM44" s="21"/>
      <c r="AN44" s="22"/>
      <c r="AO44" s="19"/>
      <c r="AP44" s="23">
        <f t="shared" si="0"/>
        <v>32.799999999999997</v>
      </c>
      <c r="AQ44" s="23">
        <f t="shared" si="1"/>
        <v>31.090047393364927</v>
      </c>
    </row>
    <row r="45" spans="1:43" x14ac:dyDescent="0.25">
      <c r="A45" s="7" t="s">
        <v>70</v>
      </c>
      <c r="B45" s="8" t="s">
        <v>69</v>
      </c>
      <c r="C45" s="26"/>
      <c r="D45" s="10"/>
      <c r="E45" s="26"/>
      <c r="F45" s="10"/>
      <c r="G45" s="26"/>
      <c r="H45" s="10"/>
      <c r="I45" s="26"/>
      <c r="J45" s="10"/>
      <c r="K45" s="26"/>
      <c r="L45" s="10"/>
      <c r="M45" s="26">
        <v>1</v>
      </c>
      <c r="N45" s="10">
        <v>2.9</v>
      </c>
      <c r="O45" s="26"/>
      <c r="P45" s="10"/>
      <c r="Q45" s="26"/>
      <c r="R45" s="10"/>
      <c r="S45" s="26"/>
      <c r="T45" s="10"/>
      <c r="U45" s="26"/>
      <c r="V45" s="10"/>
      <c r="W45" s="26"/>
      <c r="X45" s="10"/>
      <c r="Y45" s="26">
        <v>4</v>
      </c>
      <c r="Z45" s="10">
        <v>11.9</v>
      </c>
      <c r="AA45" s="26"/>
      <c r="AB45" s="10"/>
      <c r="AC45" s="26"/>
      <c r="AD45" s="10"/>
      <c r="AE45" s="26">
        <v>3</v>
      </c>
      <c r="AF45" s="10">
        <v>8.85</v>
      </c>
      <c r="AG45" s="26">
        <v>1</v>
      </c>
      <c r="AH45" s="10">
        <v>2.9</v>
      </c>
      <c r="AI45" s="26"/>
      <c r="AJ45" s="10"/>
      <c r="AK45" s="26"/>
      <c r="AL45" s="10"/>
      <c r="AM45" s="26"/>
      <c r="AN45" s="10"/>
      <c r="AO45" s="19"/>
      <c r="AP45" s="23">
        <f t="shared" si="0"/>
        <v>26.549999999999997</v>
      </c>
      <c r="AQ45" s="23">
        <f t="shared" si="1"/>
        <v>25.165876777251185</v>
      </c>
    </row>
    <row r="46" spans="1:43" s="18" customFormat="1" x14ac:dyDescent="0.25">
      <c r="A46" s="12" t="s">
        <v>71</v>
      </c>
      <c r="B46" s="13"/>
      <c r="C46" s="14"/>
      <c r="D46" s="15">
        <f>SUM(D47:D47)</f>
        <v>9</v>
      </c>
      <c r="E46" s="14"/>
      <c r="F46" s="15">
        <f>SUM(F47:F47)</f>
        <v>0</v>
      </c>
      <c r="G46" s="14"/>
      <c r="H46" s="15">
        <f>SUM(H47:H47)</f>
        <v>0</v>
      </c>
      <c r="I46" s="14"/>
      <c r="J46" s="15">
        <f>SUM(J47:J47)</f>
        <v>14</v>
      </c>
      <c r="K46" s="14"/>
      <c r="L46" s="15">
        <f>SUM(L47:L47)</f>
        <v>0</v>
      </c>
      <c r="M46" s="14"/>
      <c r="N46" s="15">
        <f>SUM(N47:N47)</f>
        <v>0</v>
      </c>
      <c r="O46" s="14"/>
      <c r="P46" s="15">
        <f>SUM(P47:P47)</f>
        <v>12</v>
      </c>
      <c r="Q46" s="14"/>
      <c r="R46" s="15">
        <f>SUM(R47:R47)</f>
        <v>30</v>
      </c>
      <c r="S46" s="14"/>
      <c r="T46" s="15">
        <f>SUM(T47:T47)</f>
        <v>0</v>
      </c>
      <c r="U46" s="14"/>
      <c r="V46" s="15">
        <f>SUM(V47:V47)</f>
        <v>0</v>
      </c>
      <c r="W46" s="14"/>
      <c r="X46" s="15">
        <f>SUM(X47:X47)</f>
        <v>14</v>
      </c>
      <c r="Y46" s="14"/>
      <c r="Z46" s="15">
        <f>SUM(Z47:Z47)</f>
        <v>17</v>
      </c>
      <c r="AA46" s="14"/>
      <c r="AB46" s="15">
        <f>SUM(AB47:AB47)</f>
        <v>20</v>
      </c>
      <c r="AC46" s="14"/>
      <c r="AD46" s="15">
        <f>SUM(AD47:AD47)</f>
        <v>0</v>
      </c>
      <c r="AE46" s="14"/>
      <c r="AF46" s="15">
        <f>SUM(AF47:AF47)</f>
        <v>8</v>
      </c>
      <c r="AG46" s="14"/>
      <c r="AH46" s="15">
        <f>SUM(AH47:AH47)</f>
        <v>0</v>
      </c>
      <c r="AI46" s="14"/>
      <c r="AJ46" s="15">
        <f>SUM(AJ47:AJ47)</f>
        <v>18</v>
      </c>
      <c r="AK46" s="14"/>
      <c r="AL46" s="15">
        <f>SUM(AL47:AL47)</f>
        <v>20</v>
      </c>
      <c r="AM46" s="14"/>
      <c r="AN46" s="15">
        <f>SUM(AN47:AN47)</f>
        <v>0</v>
      </c>
      <c r="AO46" s="12"/>
      <c r="AP46" s="15">
        <f t="shared" si="0"/>
        <v>162</v>
      </c>
      <c r="AQ46" s="15">
        <f t="shared" si="1"/>
        <v>153.55450236966826</v>
      </c>
    </row>
    <row r="47" spans="1:43" x14ac:dyDescent="0.25">
      <c r="A47" s="7" t="s">
        <v>72</v>
      </c>
      <c r="B47" s="8" t="s">
        <v>73</v>
      </c>
      <c r="C47" s="26">
        <v>36</v>
      </c>
      <c r="D47" s="10">
        <v>9</v>
      </c>
      <c r="E47" s="26"/>
      <c r="F47" s="10"/>
      <c r="G47" s="26"/>
      <c r="H47" s="10"/>
      <c r="I47" s="26">
        <v>42</v>
      </c>
      <c r="J47" s="10">
        <v>14</v>
      </c>
      <c r="K47" s="26"/>
      <c r="L47" s="10"/>
      <c r="M47" s="26"/>
      <c r="N47" s="10"/>
      <c r="O47" s="26">
        <v>36</v>
      </c>
      <c r="P47" s="10">
        <v>12</v>
      </c>
      <c r="Q47" s="26">
        <v>100</v>
      </c>
      <c r="R47" s="10">
        <v>30</v>
      </c>
      <c r="S47" s="26"/>
      <c r="T47" s="10"/>
      <c r="U47" s="26"/>
      <c r="V47" s="10"/>
      <c r="W47" s="26">
        <v>18</v>
      </c>
      <c r="X47" s="10">
        <v>14</v>
      </c>
      <c r="Y47" s="26">
        <v>57</v>
      </c>
      <c r="Z47" s="10">
        <v>17</v>
      </c>
      <c r="AA47" s="26">
        <v>60</v>
      </c>
      <c r="AB47" s="10">
        <v>20</v>
      </c>
      <c r="AC47" s="26"/>
      <c r="AD47" s="10"/>
      <c r="AE47" s="26">
        <v>24</v>
      </c>
      <c r="AF47" s="10">
        <v>8</v>
      </c>
      <c r="AG47" s="26"/>
      <c r="AH47" s="10"/>
      <c r="AI47" s="26">
        <v>70</v>
      </c>
      <c r="AJ47" s="10">
        <v>18</v>
      </c>
      <c r="AK47" s="26">
        <v>60</v>
      </c>
      <c r="AL47" s="10">
        <v>20</v>
      </c>
      <c r="AM47" s="26"/>
      <c r="AN47" s="10"/>
      <c r="AO47" s="7"/>
      <c r="AP47" s="27">
        <f t="shared" si="0"/>
        <v>162</v>
      </c>
      <c r="AQ47" s="27">
        <f t="shared" si="1"/>
        <v>153.55450236966826</v>
      </c>
    </row>
    <row r="48" spans="1:43" s="30" customFormat="1" x14ac:dyDescent="0.25">
      <c r="A48" s="138" t="s">
        <v>74</v>
      </c>
      <c r="B48" s="138"/>
      <c r="C48" s="28"/>
      <c r="D48" s="29">
        <f>D3+D23+D35+D43+D46</f>
        <v>705.68999999999994</v>
      </c>
      <c r="E48" s="28"/>
      <c r="F48" s="29">
        <f>F3+F23+F35+F43+F46</f>
        <v>100.4</v>
      </c>
      <c r="G48" s="28"/>
      <c r="H48" s="29">
        <f>H3+H23+H35+H43+H46</f>
        <v>1002.88</v>
      </c>
      <c r="I48" s="28"/>
      <c r="J48" s="29">
        <f>J3+J23+J35+J43+J46</f>
        <v>335.9</v>
      </c>
      <c r="K48" s="28"/>
      <c r="L48" s="29">
        <f>L3+L23+L35+L43+L46</f>
        <v>840.6400000000001</v>
      </c>
      <c r="M48" s="28"/>
      <c r="N48" s="29">
        <f>N3+N23+N35+N43+N46</f>
        <v>1102.45</v>
      </c>
      <c r="O48" s="28"/>
      <c r="P48" s="29">
        <f>P3+P23+P35+P43+P46</f>
        <v>263.89999999999998</v>
      </c>
      <c r="Q48" s="28"/>
      <c r="R48" s="29">
        <f>R3+R23+R35+R43+R46</f>
        <v>766.45999999999992</v>
      </c>
      <c r="S48" s="28"/>
      <c r="T48" s="29">
        <f>T3+T23+T35+T43+T46</f>
        <v>90.7</v>
      </c>
      <c r="U48" s="28"/>
      <c r="V48" s="29">
        <f>V3+V23+V35+V43+V46</f>
        <v>1068.7199999999998</v>
      </c>
      <c r="W48" s="28"/>
      <c r="X48" s="29">
        <f>X3+X23+X35+X43+X46</f>
        <v>414.29999999999995</v>
      </c>
      <c r="Y48" s="28"/>
      <c r="Z48" s="29">
        <f>Z3+Z23+Z35+Z43+Z46</f>
        <v>533.20000000000005</v>
      </c>
      <c r="AA48" s="28"/>
      <c r="AB48" s="29">
        <f>AB3+AB23+AB35+AB43+AB46</f>
        <v>719.31</v>
      </c>
      <c r="AC48" s="28"/>
      <c r="AD48" s="29">
        <f>AD3+AD23+AD35+AD43+AD46</f>
        <v>69.03</v>
      </c>
      <c r="AE48" s="28"/>
      <c r="AF48" s="29">
        <f>AF3+AF23+AF35+AF43+AF46</f>
        <v>361.65</v>
      </c>
      <c r="AG48" s="28"/>
      <c r="AH48" s="29">
        <f>AH3+AH23+AH35+AH43+AH46</f>
        <v>1006.3199999999999</v>
      </c>
      <c r="AI48" s="28"/>
      <c r="AJ48" s="29">
        <f>AJ3+AJ23+AJ35+AJ43+AJ46</f>
        <v>554.12</v>
      </c>
      <c r="AK48" s="28"/>
      <c r="AL48" s="29">
        <f>AL3+AL23+AL35+AL43+AL46</f>
        <v>696.7</v>
      </c>
      <c r="AM48" s="28"/>
      <c r="AN48" s="29">
        <f>AN3+AN23+AN35+AN43+AN46</f>
        <v>56.63</v>
      </c>
      <c r="AP48" s="31">
        <f t="shared" si="0"/>
        <v>10688.999999999998</v>
      </c>
      <c r="AQ48" s="31">
        <f t="shared" si="1"/>
        <v>10131.753554502369</v>
      </c>
    </row>
    <row r="49" spans="1:43" x14ac:dyDescent="0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P49" s="31"/>
      <c r="AQ49" s="31"/>
    </row>
    <row r="50" spans="1:43" x14ac:dyDescent="0.25">
      <c r="A50" s="139" t="s">
        <v>75</v>
      </c>
      <c r="B50" s="33" t="s">
        <v>76</v>
      </c>
      <c r="C50" s="34"/>
      <c r="D50" s="35">
        <v>683</v>
      </c>
      <c r="E50" s="34"/>
      <c r="F50" s="36">
        <v>75</v>
      </c>
      <c r="G50" s="34"/>
      <c r="H50" s="37">
        <v>913</v>
      </c>
      <c r="I50" s="34"/>
      <c r="J50" s="37">
        <v>336</v>
      </c>
      <c r="K50" s="34"/>
      <c r="L50" s="37">
        <v>817</v>
      </c>
      <c r="M50" s="34"/>
      <c r="N50" s="37">
        <v>1038</v>
      </c>
      <c r="O50" s="34"/>
      <c r="P50" s="36">
        <v>264</v>
      </c>
      <c r="Q50" s="34"/>
      <c r="R50" s="37">
        <v>728</v>
      </c>
      <c r="S50" s="34"/>
      <c r="T50" s="37">
        <v>90</v>
      </c>
      <c r="U50" s="34"/>
      <c r="V50" s="37">
        <v>1022</v>
      </c>
      <c r="W50" s="34"/>
      <c r="X50" s="37">
        <v>400.3</v>
      </c>
      <c r="Y50" s="34"/>
      <c r="Z50" s="37">
        <v>533.20000000000005</v>
      </c>
      <c r="AA50" s="34"/>
      <c r="AB50" s="37">
        <v>624</v>
      </c>
      <c r="AC50" s="34"/>
      <c r="AD50" s="37">
        <v>65</v>
      </c>
      <c r="AE50" s="34"/>
      <c r="AF50" s="37">
        <v>362</v>
      </c>
      <c r="AG50" s="34"/>
      <c r="AH50" s="37">
        <v>900</v>
      </c>
      <c r="AI50" s="34"/>
      <c r="AJ50" s="37">
        <v>537.5</v>
      </c>
      <c r="AK50" s="34"/>
      <c r="AL50" s="37">
        <v>646</v>
      </c>
      <c r="AM50" s="34"/>
      <c r="AN50" s="37">
        <v>57</v>
      </c>
      <c r="AO50" s="34"/>
      <c r="AP50" s="37">
        <f>SUM(AN50,AL50,AJ50,AH50,AF50,AD50,AB50,Z50,X50,V50,T50,R50,P50,N50,L50,J50,H50,F50,D50)</f>
        <v>10091</v>
      </c>
      <c r="AQ50" s="37"/>
    </row>
    <row r="51" spans="1:43" x14ac:dyDescent="0.25">
      <c r="A51" s="139"/>
      <c r="B51" s="38" t="s">
        <v>77</v>
      </c>
      <c r="C51" s="39">
        <v>2</v>
      </c>
      <c r="D51" s="40">
        <v>22.7</v>
      </c>
      <c r="E51" s="39">
        <v>1</v>
      </c>
      <c r="F51" s="41">
        <v>25</v>
      </c>
      <c r="G51" s="39">
        <v>5</v>
      </c>
      <c r="H51" s="42">
        <v>90.1</v>
      </c>
      <c r="I51" s="43"/>
      <c r="J51" s="42"/>
      <c r="K51" s="39">
        <v>2</v>
      </c>
      <c r="L51" s="42">
        <v>23.9</v>
      </c>
      <c r="M51" s="39">
        <v>5</v>
      </c>
      <c r="N51" s="42">
        <v>64.5</v>
      </c>
      <c r="O51" s="43"/>
      <c r="P51" s="41"/>
      <c r="Q51" s="39">
        <v>4</v>
      </c>
      <c r="R51" s="42">
        <v>38</v>
      </c>
      <c r="S51" s="43"/>
      <c r="T51" s="42"/>
      <c r="U51" s="39">
        <v>4</v>
      </c>
      <c r="V51" s="42">
        <v>46.2</v>
      </c>
      <c r="W51" s="39">
        <v>1</v>
      </c>
      <c r="X51" s="42">
        <v>14.35</v>
      </c>
      <c r="Y51" s="39"/>
      <c r="Z51" s="42"/>
      <c r="AA51" s="39">
        <v>5</v>
      </c>
      <c r="AB51" s="42">
        <v>95</v>
      </c>
      <c r="AC51" s="39"/>
      <c r="AD51" s="42"/>
      <c r="AE51" s="39"/>
      <c r="AF51" s="42"/>
      <c r="AG51" s="39">
        <v>5</v>
      </c>
      <c r="AH51" s="42">
        <v>106.9</v>
      </c>
      <c r="AI51" s="39">
        <v>1</v>
      </c>
      <c r="AJ51" s="42">
        <v>16.5</v>
      </c>
      <c r="AK51" s="39">
        <v>4</v>
      </c>
      <c r="AL51" s="42">
        <v>50.8</v>
      </c>
      <c r="AM51" s="39"/>
      <c r="AN51" s="42"/>
      <c r="AO51" s="39"/>
      <c r="AP51" s="42">
        <f>SUM(AN51,AL51,AJ51,AH51,AF51,AD51,AB51,Z51,X51,V51,T51,R51,P51,N51,L51,J51,H51,F51,D51)</f>
        <v>593.95000000000005</v>
      </c>
      <c r="AQ51" s="42"/>
    </row>
    <row r="52" spans="1:43" x14ac:dyDescent="0.25">
      <c r="A52" s="139"/>
      <c r="B52" s="38"/>
      <c r="C52" s="43"/>
      <c r="D52" s="40"/>
      <c r="E52" s="43"/>
      <c r="F52" s="41"/>
      <c r="G52" s="43"/>
      <c r="H52" s="42"/>
      <c r="I52" s="43"/>
      <c r="J52" s="42"/>
      <c r="K52" s="43"/>
      <c r="L52" s="42"/>
      <c r="M52" s="43"/>
      <c r="N52" s="42"/>
      <c r="O52" s="43"/>
      <c r="P52" s="41"/>
      <c r="Q52" s="43"/>
      <c r="R52" s="42"/>
      <c r="S52" s="43"/>
      <c r="T52" s="42"/>
      <c r="U52" s="43"/>
      <c r="V52" s="42"/>
      <c r="W52" s="43"/>
      <c r="X52" s="42"/>
      <c r="Y52" s="43"/>
      <c r="Z52" s="42"/>
      <c r="AA52" s="43"/>
      <c r="AB52" s="42"/>
      <c r="AC52" s="43"/>
      <c r="AD52" s="42"/>
      <c r="AE52" s="43"/>
      <c r="AF52" s="42"/>
      <c r="AG52" s="43"/>
      <c r="AH52" s="42"/>
      <c r="AI52" s="43"/>
      <c r="AJ52" s="42"/>
      <c r="AK52" s="43"/>
      <c r="AL52" s="42"/>
      <c r="AM52" s="43"/>
      <c r="AN52" s="42"/>
      <c r="AO52" s="43"/>
      <c r="AP52" s="42">
        <f>SUM(AN52,AL52,AJ52,AH52,AF52,AD52,AB52,Z52,X52,V52,T52,R52,P52,N52,L52,J52,H52,F52,D52)</f>
        <v>0</v>
      </c>
      <c r="AQ52" s="42"/>
    </row>
    <row r="53" spans="1:43" s="51" customFormat="1" x14ac:dyDescent="0.25">
      <c r="A53" s="139"/>
      <c r="B53" s="44" t="s">
        <v>78</v>
      </c>
      <c r="C53" s="45"/>
      <c r="D53" s="46">
        <f>SUM(D50:D52)</f>
        <v>705.7</v>
      </c>
      <c r="E53" s="45"/>
      <c r="F53" s="47">
        <f>SUM(F50:F52)</f>
        <v>100</v>
      </c>
      <c r="G53" s="45"/>
      <c r="H53" s="48">
        <f>SUM(H50:H52)</f>
        <v>1003.1</v>
      </c>
      <c r="I53" s="45"/>
      <c r="J53" s="48">
        <f>SUM(J50:J52)</f>
        <v>336</v>
      </c>
      <c r="K53" s="45"/>
      <c r="L53" s="48">
        <f>SUM(L50:L52)</f>
        <v>840.9</v>
      </c>
      <c r="M53" s="45"/>
      <c r="N53" s="48">
        <f>SUM(N50:N52)</f>
        <v>1102.5</v>
      </c>
      <c r="O53" s="45"/>
      <c r="P53" s="47">
        <f>SUM(P50:P52)</f>
        <v>264</v>
      </c>
      <c r="Q53" s="45"/>
      <c r="R53" s="48">
        <f>SUM(R50:R52)</f>
        <v>766</v>
      </c>
      <c r="S53" s="45"/>
      <c r="T53" s="48">
        <f>SUM(T50:T52)</f>
        <v>90</v>
      </c>
      <c r="U53" s="45"/>
      <c r="V53" s="48">
        <f>SUM(V50:V52)</f>
        <v>1068.2</v>
      </c>
      <c r="W53" s="45"/>
      <c r="X53" s="48">
        <f>SUM(X50:X52)</f>
        <v>414.65000000000003</v>
      </c>
      <c r="Y53" s="45"/>
      <c r="Z53" s="48">
        <f>SUM(Z50:Z52)</f>
        <v>533.20000000000005</v>
      </c>
      <c r="AA53" s="45"/>
      <c r="AB53" s="48">
        <f>SUM(AB50:AB52)</f>
        <v>719</v>
      </c>
      <c r="AC53" s="49"/>
      <c r="AD53" s="50">
        <f>SUM(AD50:AD52)</f>
        <v>65</v>
      </c>
      <c r="AE53" s="45"/>
      <c r="AF53" s="48">
        <f>SUM(AF50:AF52)</f>
        <v>362</v>
      </c>
      <c r="AG53" s="45"/>
      <c r="AH53" s="48">
        <f>SUM(AH50:AH52)</f>
        <v>1006.9</v>
      </c>
      <c r="AI53" s="45"/>
      <c r="AJ53" s="48">
        <f>SUM(AJ50:AJ52)</f>
        <v>554</v>
      </c>
      <c r="AK53" s="45"/>
      <c r="AL53" s="48">
        <f>SUM(AL50:AL52)</f>
        <v>696.8</v>
      </c>
      <c r="AM53" s="45"/>
      <c r="AN53" s="48">
        <f>SUM(AN50:AN52)</f>
        <v>57</v>
      </c>
      <c r="AO53" s="45"/>
      <c r="AP53" s="48">
        <f>SUM(AN53,AL53,AJ53,AH53,AF53,AD53,AB53,Z53,X53,V53,T53,R53,P53,N53,L53,J53,H53,F53,D53)</f>
        <v>10684.95</v>
      </c>
      <c r="AQ53" s="48"/>
    </row>
    <row r="54" spans="1:43" ht="15" customHeight="1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140" t="s">
        <v>79</v>
      </c>
      <c r="AD54" s="140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3" x14ac:dyDescent="0.25">
      <c r="AC55" s="140"/>
      <c r="AD55" s="140"/>
    </row>
    <row r="56" spans="1:43" x14ac:dyDescent="0.25">
      <c r="AC56" s="140"/>
      <c r="AD56" s="140"/>
    </row>
  </sheetData>
  <mergeCells count="23">
    <mergeCell ref="A48:B48"/>
    <mergeCell ref="A50:A53"/>
    <mergeCell ref="AC54:AD56"/>
    <mergeCell ref="AG1:AH1"/>
    <mergeCell ref="AI1:AJ1"/>
    <mergeCell ref="M1:N1"/>
    <mergeCell ref="O1:P1"/>
    <mergeCell ref="Q1:R1"/>
    <mergeCell ref="S1:T1"/>
    <mergeCell ref="U1:V1"/>
    <mergeCell ref="C1:D1"/>
    <mergeCell ref="E1:F1"/>
    <mergeCell ref="G1:H1"/>
    <mergeCell ref="I1:J1"/>
    <mergeCell ref="K1:L1"/>
    <mergeCell ref="AK1:AL1"/>
    <mergeCell ref="AM1:AN1"/>
    <mergeCell ref="AO1:AP2"/>
    <mergeCell ref="W1:X1"/>
    <mergeCell ref="Y1:Z1"/>
    <mergeCell ref="AA1:AB1"/>
    <mergeCell ref="AC1:AD1"/>
    <mergeCell ref="AE1:AF1"/>
  </mergeCells>
  <printOptions horizontalCentered="1"/>
  <pageMargins left="0.70833333333333304" right="0.70833333333333304" top="0.74861111111111101" bottom="0.35416666666666702" header="0.31527777777777799" footer="0.51180555555555496"/>
  <pageSetup paperSize="0" scale="0" firstPageNumber="0" orientation="portrait" usePrinterDefaults="0" horizontalDpi="0" verticalDpi="0" copies="0"/>
  <headerFooter>
    <oddHeader>&amp;Learl de Guillounet&amp;C&amp;F -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FFFFFF"/>
  </sheetPr>
  <dimension ref="A1:BA73"/>
  <sheetViews>
    <sheetView windowProtection="1" zoomScaleNormal="100" workbookViewId="0">
      <pane xSplit="2" ySplit="2" topLeftCell="C3" activePane="bottomRight" state="frozen"/>
      <selection pane="topRight" activeCell="C1" sqref="C1"/>
      <selection pane="bottomLeft" activeCell="A46" sqref="A46"/>
      <selection pane="bottomRight" activeCell="L70" sqref="L70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.85546875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710937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215</v>
      </c>
      <c r="D1" s="136"/>
      <c r="E1" s="136" t="s">
        <v>216</v>
      </c>
      <c r="F1" s="136"/>
      <c r="G1" s="136" t="s">
        <v>217</v>
      </c>
      <c r="H1" s="136"/>
      <c r="I1" s="136" t="s">
        <v>218</v>
      </c>
      <c r="J1" s="136"/>
      <c r="K1" s="145" t="s">
        <v>219</v>
      </c>
      <c r="L1" s="145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SUM(D4:D32)</f>
        <v>38.08</v>
      </c>
      <c r="E3" s="14"/>
      <c r="F3" s="15">
        <f>SUM(F4:F32)</f>
        <v>24.689999999999998</v>
      </c>
      <c r="G3" s="14"/>
      <c r="H3" s="15">
        <f>SUM(H4:H32)</f>
        <v>12</v>
      </c>
      <c r="I3" s="14"/>
      <c r="J3" s="15">
        <f>SUM(J4:J32)</f>
        <v>29.6</v>
      </c>
      <c r="K3" s="70"/>
      <c r="L3" s="70">
        <f>SUM(L4:L32)</f>
        <v>15</v>
      </c>
      <c r="M3" s="14"/>
      <c r="N3" s="15">
        <f>SUM(N4:N32)</f>
        <v>0</v>
      </c>
      <c r="O3" s="14"/>
      <c r="P3" s="15">
        <f>SUM(P4:P32)</f>
        <v>0</v>
      </c>
      <c r="Q3" s="14"/>
      <c r="R3" s="15">
        <f>SUM(R4:R32)</f>
        <v>0</v>
      </c>
      <c r="S3" s="14"/>
      <c r="T3" s="15">
        <f>SUM(T4:T32)</f>
        <v>0</v>
      </c>
      <c r="U3" s="14"/>
      <c r="V3" s="15">
        <f>SUM(V4:V32)</f>
        <v>0</v>
      </c>
      <c r="W3" s="14"/>
      <c r="X3" s="15">
        <f>SUM(X4:X32)</f>
        <v>0</v>
      </c>
      <c r="Y3" s="14"/>
      <c r="Z3" s="15">
        <f>SUM(Z4:Z32)</f>
        <v>0</v>
      </c>
      <c r="AA3" s="14"/>
      <c r="AB3" s="15">
        <f>SUM(AB4:AB32)</f>
        <v>0</v>
      </c>
      <c r="AC3" s="14"/>
      <c r="AD3" s="15">
        <f>SUM(AD4:AD32)</f>
        <v>0</v>
      </c>
      <c r="AE3" s="14"/>
      <c r="AF3" s="15">
        <f>SUM(AF4:AF32)</f>
        <v>0</v>
      </c>
      <c r="AG3" s="14"/>
      <c r="AH3" s="15">
        <f>SUM(AH4:AH32)</f>
        <v>0</v>
      </c>
      <c r="AI3" s="14"/>
      <c r="AJ3" s="15">
        <f>SUM(AJ4:AJ32)</f>
        <v>0</v>
      </c>
      <c r="AK3" s="14"/>
      <c r="AL3" s="15">
        <f>SUM(AL4:AL32)</f>
        <v>0</v>
      </c>
      <c r="AM3" s="14"/>
      <c r="AN3" s="15">
        <f>SUM(AN4:AN32)</f>
        <v>0</v>
      </c>
      <c r="AO3" s="14"/>
      <c r="AP3" s="15">
        <f>SUM(AP4:AP32)</f>
        <v>0</v>
      </c>
      <c r="AQ3" s="14"/>
      <c r="AR3" s="15">
        <f>SUM(AR4:AR32)</f>
        <v>0</v>
      </c>
      <c r="AS3" s="14"/>
      <c r="AT3" s="15">
        <f>SUM(AT4:AT32)</f>
        <v>0</v>
      </c>
      <c r="AU3" s="14"/>
      <c r="AV3" s="15">
        <f>SUM(AV4:AV32)</f>
        <v>0</v>
      </c>
      <c r="AX3" s="84">
        <f t="shared" ref="AX3:AX34" si="0">SUM(AV3,AT3,AR3,AP3,AN3,AL3,AJ3,AH3,AF3,AD3,AB3,Z3,X3,V3,T3,R3,P3,N3,L3,J3,H3,F3,D3)</f>
        <v>119.36999999999999</v>
      </c>
      <c r="AY3" s="15">
        <f t="shared" ref="AY3:AY34" si="1">AX3/1.055</f>
        <v>113.14691943127961</v>
      </c>
    </row>
    <row r="4" spans="1:51" x14ac:dyDescent="0.25">
      <c r="A4" s="19" t="s">
        <v>25</v>
      </c>
      <c r="B4" s="20" t="s">
        <v>26</v>
      </c>
      <c r="C4" s="21"/>
      <c r="D4"/>
      <c r="E4" s="21"/>
      <c r="F4" s="22"/>
      <c r="G4" s="21"/>
      <c r="H4" s="22"/>
      <c r="I4" s="21"/>
      <c r="J4" s="22"/>
      <c r="K4" s="72"/>
      <c r="L4" s="73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0</v>
      </c>
      <c r="AY4" s="22">
        <f t="shared" si="1"/>
        <v>0</v>
      </c>
    </row>
    <row r="5" spans="1:51" x14ac:dyDescent="0.25">
      <c r="A5" s="19" t="s">
        <v>27</v>
      </c>
      <c r="B5" s="20" t="s">
        <v>26</v>
      </c>
      <c r="C5" s="21"/>
      <c r="D5" s="22"/>
      <c r="E5" s="21"/>
      <c r="F5" s="22"/>
      <c r="G5" s="21"/>
      <c r="H5" s="22"/>
      <c r="I5" s="21"/>
      <c r="J5" s="22"/>
      <c r="K5" s="72"/>
      <c r="L5" s="73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0</v>
      </c>
      <c r="AY5" s="22">
        <f t="shared" si="1"/>
        <v>0</v>
      </c>
    </row>
    <row r="6" spans="1:51" x14ac:dyDescent="0.25">
      <c r="A6" s="19" t="s">
        <v>28</v>
      </c>
      <c r="B6" s="20" t="s">
        <v>26</v>
      </c>
      <c r="C6" s="21"/>
      <c r="D6" s="22"/>
      <c r="E6" s="21"/>
      <c r="F6" s="22"/>
      <c r="G6" s="21"/>
      <c r="H6" s="22"/>
      <c r="I6" s="21"/>
      <c r="J6" s="22"/>
      <c r="K6" s="72"/>
      <c r="L6" s="73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4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0</v>
      </c>
      <c r="AY6" s="22">
        <f t="shared" si="1"/>
        <v>0</v>
      </c>
    </row>
    <row r="7" spans="1:51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85"/>
      <c r="L7" s="73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0</v>
      </c>
      <c r="AY7" s="22">
        <f t="shared" si="1"/>
        <v>0</v>
      </c>
    </row>
    <row r="8" spans="1:51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104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31</v>
      </c>
      <c r="B10" s="20" t="s">
        <v>26</v>
      </c>
      <c r="C10" s="21"/>
      <c r="D10" s="22"/>
      <c r="E10" s="21"/>
      <c r="F10" s="22"/>
      <c r="G10" s="21"/>
      <c r="H10" s="22"/>
      <c r="I10" s="21"/>
      <c r="J10" s="22"/>
      <c r="K10" s="72"/>
      <c r="L10" s="73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0</v>
      </c>
      <c r="AY10" s="22">
        <f t="shared" si="1"/>
        <v>0</v>
      </c>
    </row>
    <row r="11" spans="1:51" x14ac:dyDescent="0.25">
      <c r="A11" s="19" t="s">
        <v>103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85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0</v>
      </c>
      <c r="AY11" s="22">
        <f t="shared" si="1"/>
        <v>0</v>
      </c>
    </row>
    <row r="12" spans="1:51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5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0</v>
      </c>
      <c r="AY12" s="22">
        <f t="shared" si="1"/>
        <v>0</v>
      </c>
    </row>
    <row r="13" spans="1:51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5"/>
      <c r="R13" s="22"/>
      <c r="S13" s="21"/>
      <c r="T13" s="22"/>
      <c r="U13" s="25"/>
      <c r="V13" s="22"/>
      <c r="W13" s="21"/>
      <c r="X13" s="22"/>
      <c r="Y13" s="21"/>
      <c r="Z13" s="22"/>
      <c r="AA13" s="25"/>
      <c r="AB13" s="22"/>
      <c r="AC13" s="21"/>
      <c r="AD13" s="22"/>
      <c r="AE13" s="21"/>
      <c r="AF13" s="22"/>
      <c r="AG13" s="25"/>
      <c r="AH13" s="22"/>
      <c r="AI13" s="21"/>
      <c r="AJ13" s="22"/>
      <c r="AK13" s="25"/>
      <c r="AL13" s="22"/>
      <c r="AM13" s="21"/>
      <c r="AN13" s="22"/>
      <c r="AO13" s="25"/>
      <c r="AP13" s="22"/>
      <c r="AQ13" s="21"/>
      <c r="AR13" s="22"/>
      <c r="AS13" s="21"/>
      <c r="AT13" s="22"/>
      <c r="AU13" s="25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85"/>
      <c r="L14" s="73"/>
      <c r="M14" s="21"/>
      <c r="N14" s="22"/>
      <c r="O14" s="21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33</v>
      </c>
      <c r="B15" s="20" t="s">
        <v>34</v>
      </c>
      <c r="C15" s="25"/>
      <c r="D15" s="22"/>
      <c r="E15" s="25"/>
      <c r="F15" s="22"/>
      <c r="G15" s="25"/>
      <c r="H15" s="22"/>
      <c r="I15" s="25"/>
      <c r="J15" s="22"/>
      <c r="K15" s="85"/>
      <c r="L15" s="73"/>
      <c r="M15" s="25"/>
      <c r="N15" s="22"/>
      <c r="O15" s="25"/>
      <c r="P15" s="22"/>
      <c r="Q15" s="25"/>
      <c r="R15" s="22"/>
      <c r="S15" s="25"/>
      <c r="T15" s="22"/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5"/>
      <c r="AN15" s="22"/>
      <c r="AO15" s="25"/>
      <c r="AP15" s="22"/>
      <c r="AQ15" s="25"/>
      <c r="AR15" s="22"/>
      <c r="AS15" s="25"/>
      <c r="AT15" s="22"/>
      <c r="AU15" s="25"/>
      <c r="AV15" s="22"/>
      <c r="AW15"/>
      <c r="AX15" s="74">
        <f t="shared" si="0"/>
        <v>0</v>
      </c>
      <c r="AY15" s="22">
        <f t="shared" si="1"/>
        <v>0</v>
      </c>
    </row>
    <row r="16" spans="1:51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1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37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0</v>
      </c>
      <c r="AY18" s="22">
        <f t="shared" si="1"/>
        <v>0</v>
      </c>
    </row>
    <row r="19" spans="1:51" x14ac:dyDescent="0.25">
      <c r="A19" s="19" t="s">
        <v>38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0</v>
      </c>
      <c r="AY19" s="22">
        <f t="shared" si="1"/>
        <v>0</v>
      </c>
    </row>
    <row r="20" spans="1:51" x14ac:dyDescent="0.25">
      <c r="A20" s="19" t="s">
        <v>39</v>
      </c>
      <c r="B20" s="20" t="s">
        <v>34</v>
      </c>
      <c r="C20"/>
      <c r="D20" s="22"/>
      <c r="E20"/>
      <c r="F20" s="22"/>
      <c r="G20"/>
      <c r="H20" s="22"/>
      <c r="I20"/>
      <c r="J20" s="22"/>
      <c r="K20" s="85"/>
      <c r="L20" s="22"/>
      <c r="M20"/>
      <c r="N20" s="22"/>
      <c r="O20"/>
      <c r="P20" s="22"/>
      <c r="Q20"/>
      <c r="R20" s="22"/>
      <c r="S20"/>
      <c r="T20" s="22"/>
      <c r="U20"/>
      <c r="V20" s="22"/>
      <c r="W20"/>
      <c r="X20" s="22"/>
      <c r="Y20"/>
      <c r="Z20" s="22"/>
      <c r="AA20"/>
      <c r="AB20" s="22"/>
      <c r="AC20"/>
      <c r="AD20" s="22"/>
      <c r="AE20"/>
      <c r="AF20" s="22"/>
      <c r="AG20"/>
      <c r="AH20" s="22"/>
      <c r="AI20"/>
      <c r="AJ20" s="22"/>
      <c r="AK20"/>
      <c r="AL20" s="22"/>
      <c r="AM20"/>
      <c r="AN20" s="22"/>
      <c r="AO20"/>
      <c r="AP20" s="22"/>
      <c r="AQ20"/>
      <c r="AR20" s="22"/>
      <c r="AS20"/>
      <c r="AT20" s="22"/>
      <c r="AU20"/>
      <c r="AV20" s="22"/>
      <c r="AW20"/>
      <c r="AX20" s="74">
        <f t="shared" si="0"/>
        <v>0</v>
      </c>
      <c r="AY20" s="22">
        <f t="shared" si="1"/>
        <v>0</v>
      </c>
    </row>
    <row r="21" spans="1:51" x14ac:dyDescent="0.25">
      <c r="A21" s="19" t="s">
        <v>40</v>
      </c>
      <c r="B21" s="20" t="s">
        <v>34</v>
      </c>
      <c r="C21" s="25"/>
      <c r="D21" s="22"/>
      <c r="E21" s="25"/>
      <c r="F21" s="22"/>
      <c r="G21" s="25"/>
      <c r="H21" s="22"/>
      <c r="I21" s="25"/>
      <c r="J21" s="22"/>
      <c r="K21" s="85"/>
      <c r="L21" s="73"/>
      <c r="M21" s="25"/>
      <c r="N21" s="22"/>
      <c r="O21" s="25"/>
      <c r="P21" s="22"/>
      <c r="Q21" s="25"/>
      <c r="R21" s="22"/>
      <c r="S21" s="25"/>
      <c r="T21" s="22"/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25"/>
      <c r="AP21" s="22"/>
      <c r="AQ21" s="25"/>
      <c r="AR21" s="22"/>
      <c r="AS21" s="25"/>
      <c r="AT21" s="22"/>
      <c r="AU21" s="25"/>
      <c r="AV21" s="22"/>
      <c r="AW21"/>
      <c r="AX21" s="74">
        <f t="shared" si="0"/>
        <v>0</v>
      </c>
      <c r="AY21" s="22">
        <f t="shared" si="1"/>
        <v>0</v>
      </c>
    </row>
    <row r="22" spans="1:51" x14ac:dyDescent="0.25">
      <c r="A22" s="19" t="s">
        <v>30</v>
      </c>
      <c r="B22" s="20" t="s">
        <v>26</v>
      </c>
      <c r="C22" s="21"/>
      <c r="D22" s="22"/>
      <c r="E22" s="21"/>
      <c r="F22" s="22"/>
      <c r="G22" s="21"/>
      <c r="H22" s="22"/>
      <c r="I22" s="21"/>
      <c r="J22" s="22"/>
      <c r="K22" s="72"/>
      <c r="L22" s="73"/>
      <c r="M22" s="21"/>
      <c r="N22" s="22"/>
      <c r="O22" s="21"/>
      <c r="P22" s="22"/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2"/>
      <c r="AO22" s="21"/>
      <c r="AP22" s="22"/>
      <c r="AQ22" s="21"/>
      <c r="AR22" s="22"/>
      <c r="AS22" s="21"/>
      <c r="AT22" s="22"/>
      <c r="AU22" s="21"/>
      <c r="AV22" s="22"/>
      <c r="AW22"/>
      <c r="AX22" s="74">
        <f t="shared" si="0"/>
        <v>0</v>
      </c>
      <c r="AY22" s="22">
        <f t="shared" si="1"/>
        <v>0</v>
      </c>
    </row>
    <row r="23" spans="1:51" x14ac:dyDescent="0.25">
      <c r="A23" s="19" t="s">
        <v>105</v>
      </c>
      <c r="B23" s="20" t="s">
        <v>26</v>
      </c>
      <c r="C23" s="21"/>
      <c r="D23" s="22"/>
      <c r="E23" s="21"/>
      <c r="F23" s="22"/>
      <c r="G23" s="21"/>
      <c r="H23" s="22"/>
      <c r="I23" s="21"/>
      <c r="J23" s="22"/>
      <c r="K23" s="85"/>
      <c r="L23" s="73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0</v>
      </c>
      <c r="AY23" s="22">
        <f t="shared" si="1"/>
        <v>0</v>
      </c>
    </row>
    <row r="24" spans="1:51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85"/>
      <c r="L24" s="73"/>
      <c r="M24" s="25"/>
      <c r="N24" s="22"/>
      <c r="O24" s="25"/>
      <c r="P24" s="22"/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U24" s="25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42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0</v>
      </c>
      <c r="AY25" s="22">
        <f t="shared" si="1"/>
        <v>0</v>
      </c>
    </row>
    <row r="26" spans="1:51" x14ac:dyDescent="0.25">
      <c r="A26" s="19" t="s">
        <v>43</v>
      </c>
      <c r="B26" s="20" t="s">
        <v>34</v>
      </c>
      <c r="C26" s="25"/>
      <c r="D26" s="22">
        <v>26.75</v>
      </c>
      <c r="E26" s="25"/>
      <c r="F26" s="22">
        <v>19.09</v>
      </c>
      <c r="G26" s="25"/>
      <c r="H26" s="22">
        <v>12</v>
      </c>
      <c r="I26" s="25"/>
      <c r="J26" s="22">
        <v>14.37</v>
      </c>
      <c r="K26" s="85"/>
      <c r="L26" s="73">
        <v>15</v>
      </c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87.21</v>
      </c>
      <c r="AY26" s="22">
        <f t="shared" si="1"/>
        <v>82.66350710900474</v>
      </c>
    </row>
    <row r="27" spans="1:5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179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180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191</v>
      </c>
      <c r="B30" s="20" t="s">
        <v>34</v>
      </c>
      <c r="C30" s="25"/>
      <c r="D30" s="22">
        <v>11.33</v>
      </c>
      <c r="E30" s="25"/>
      <c r="F30" s="22">
        <v>5.6</v>
      </c>
      <c r="G30" s="25"/>
      <c r="H30" s="22"/>
      <c r="I30" s="25"/>
      <c r="J30" s="22">
        <v>15.23</v>
      </c>
      <c r="K30" s="85"/>
      <c r="L30" s="73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32.159999999999997</v>
      </c>
      <c r="AY30" s="22">
        <f t="shared" si="1"/>
        <v>30.48341232227488</v>
      </c>
    </row>
    <row r="31" spans="1:51" x14ac:dyDescent="0.25">
      <c r="A31" s="19" t="s">
        <v>201</v>
      </c>
      <c r="B31" s="20" t="s">
        <v>26</v>
      </c>
      <c r="C31" s="25"/>
      <c r="D31" s="22"/>
      <c r="E31" s="25"/>
      <c r="F31" s="22"/>
      <c r="G31" s="21"/>
      <c r="H31" s="22"/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1" x14ac:dyDescent="0.25">
      <c r="A32" s="19" t="s">
        <v>202</v>
      </c>
      <c r="B32" s="20" t="s">
        <v>34</v>
      </c>
      <c r="C32" s="25"/>
      <c r="D32" s="22"/>
      <c r="E32" s="25"/>
      <c r="F32" s="22"/>
      <c r="G32" s="25"/>
      <c r="H32" s="22"/>
      <c r="I32" s="25"/>
      <c r="J32" s="22"/>
      <c r="K32" s="85"/>
      <c r="L32" s="73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0</v>
      </c>
      <c r="AY32" s="22">
        <f t="shared" si="1"/>
        <v>0</v>
      </c>
    </row>
    <row r="33" spans="1:51" s="18" customFormat="1" x14ac:dyDescent="0.25">
      <c r="A33" s="12" t="s">
        <v>46</v>
      </c>
      <c r="B33" s="13"/>
      <c r="C33" s="14"/>
      <c r="D33" s="15">
        <f>SUM(D34:D52)</f>
        <v>46.15</v>
      </c>
      <c r="E33" s="14"/>
      <c r="F33" s="15">
        <f>SUM(F34:F52)</f>
        <v>71.94</v>
      </c>
      <c r="G33" s="14"/>
      <c r="H33" s="15">
        <f>SUM(H34:H52)</f>
        <v>69.8</v>
      </c>
      <c r="I33" s="14"/>
      <c r="J33" s="15">
        <f>SUM(J34:J52)</f>
        <v>65.109999999999985</v>
      </c>
      <c r="K33" s="70"/>
      <c r="L33" s="70">
        <f>SUM(L34:L52)</f>
        <v>74.5</v>
      </c>
      <c r="M33" s="14"/>
      <c r="N33" s="15">
        <f>SUM(N34:N52)</f>
        <v>0</v>
      </c>
      <c r="O33" s="14"/>
      <c r="P33" s="15">
        <f>SUM(P34:P52)</f>
        <v>0</v>
      </c>
      <c r="Q33" s="14"/>
      <c r="R33" s="15">
        <f>SUM(R34:R52)</f>
        <v>0</v>
      </c>
      <c r="S33" s="14"/>
      <c r="T33" s="15">
        <f>SUM(T34:T52)</f>
        <v>0</v>
      </c>
      <c r="U33" s="14"/>
      <c r="V33" s="15">
        <f>SUM(V34:V52)</f>
        <v>0</v>
      </c>
      <c r="W33" s="14"/>
      <c r="X33" s="15">
        <f>SUM(X34:X52)</f>
        <v>0</v>
      </c>
      <c r="Y33" s="14"/>
      <c r="Z33" s="15">
        <f>SUM(Z34:Z52)</f>
        <v>0</v>
      </c>
      <c r="AA33" s="14"/>
      <c r="AB33" s="15">
        <f>SUM(AB34:AB52)</f>
        <v>0</v>
      </c>
      <c r="AC33" s="14"/>
      <c r="AD33" s="15">
        <f>SUM(AD34:AD52)</f>
        <v>0</v>
      </c>
      <c r="AE33" s="14"/>
      <c r="AF33" s="15">
        <f>SUM(AF34:AF52)</f>
        <v>0</v>
      </c>
      <c r="AG33" s="14"/>
      <c r="AH33" s="15">
        <f>SUM(AH34:AH52)</f>
        <v>0</v>
      </c>
      <c r="AI33" s="14"/>
      <c r="AJ33" s="15">
        <f>SUM(AJ34:AJ52)</f>
        <v>0</v>
      </c>
      <c r="AK33" s="14"/>
      <c r="AL33" s="15">
        <f>SUM(AL34:AL52)</f>
        <v>0</v>
      </c>
      <c r="AM33" s="14"/>
      <c r="AN33" s="15">
        <f>SUM(AN34:AN52)</f>
        <v>0</v>
      </c>
      <c r="AO33" s="14"/>
      <c r="AP33" s="15">
        <f>SUM(AP34:AP52)</f>
        <v>0</v>
      </c>
      <c r="AQ33" s="14"/>
      <c r="AR33" s="15">
        <f>SUM(AR34:AR52)</f>
        <v>0</v>
      </c>
      <c r="AS33" s="14"/>
      <c r="AT33" s="15">
        <f>SUM(AT34:AT52)</f>
        <v>0</v>
      </c>
      <c r="AU33" s="14"/>
      <c r="AV33" s="15">
        <f>SUM(AV34:AV52)</f>
        <v>0</v>
      </c>
      <c r="AX33" s="71">
        <f t="shared" si="0"/>
        <v>327.49999999999994</v>
      </c>
      <c r="AY33" s="15">
        <f t="shared" si="1"/>
        <v>310.42654028436016</v>
      </c>
    </row>
    <row r="34" spans="1:51" x14ac:dyDescent="0.25">
      <c r="A34" s="19" t="s">
        <v>47</v>
      </c>
      <c r="B34" s="20" t="s">
        <v>34</v>
      </c>
      <c r="C34" s="25"/>
      <c r="D34" s="22"/>
      <c r="E34" s="25"/>
      <c r="F34" s="22"/>
      <c r="G34" s="25"/>
      <c r="H34" s="22"/>
      <c r="I34" s="25"/>
      <c r="J34" s="22"/>
      <c r="K34" s="25"/>
      <c r="L34" s="73">
        <v>1</v>
      </c>
      <c r="M34" s="25"/>
      <c r="N34" s="22"/>
      <c r="O34" s="25"/>
      <c r="P34" s="22"/>
      <c r="Q34" s="25"/>
      <c r="R34" s="22"/>
      <c r="S34" s="21"/>
      <c r="T34" s="22"/>
      <c r="U34" s="25"/>
      <c r="V34" s="22"/>
      <c r="W34" s="25"/>
      <c r="X34" s="22"/>
      <c r="Y34" s="25"/>
      <c r="Z34" s="22"/>
      <c r="AA34" s="21"/>
      <c r="AB34" s="22"/>
      <c r="AC34" s="25"/>
      <c r="AD34" s="22"/>
      <c r="AE34" s="25"/>
      <c r="AF34" s="22"/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si="0"/>
        <v>1</v>
      </c>
      <c r="AY34" s="22">
        <f t="shared" si="1"/>
        <v>0.94786729857819907</v>
      </c>
    </row>
    <row r="35" spans="1:51" x14ac:dyDescent="0.25">
      <c r="A35" s="19" t="s">
        <v>48</v>
      </c>
      <c r="B35" s="20" t="s">
        <v>34</v>
      </c>
      <c r="C35" s="25"/>
      <c r="D35" s="22">
        <v>7.94</v>
      </c>
      <c r="E35" s="25"/>
      <c r="F35" s="22">
        <v>22.04</v>
      </c>
      <c r="G35" s="25"/>
      <c r="H35" s="22">
        <v>6.1</v>
      </c>
      <c r="I35" s="25"/>
      <c r="J35" s="22">
        <v>6.17</v>
      </c>
      <c r="K35" s="25"/>
      <c r="L35" s="73">
        <v>10</v>
      </c>
      <c r="M35" s="25"/>
      <c r="N35" s="22"/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ref="AX35:AX67" si="2">SUM(AV35,AT35,AR35,AP35,AN35,AL35,AJ35,AH35,AF35,AD35,AB35,Z35,X35,V35,T35,R35,P35,N35,L35,J35,H35,F35,D35)</f>
        <v>52.25</v>
      </c>
      <c r="AY35" s="22">
        <f t="shared" ref="AY35:AY66" si="3">AX35/1.055</f>
        <v>49.526066350710906</v>
      </c>
    </row>
    <row r="36" spans="1:51" x14ac:dyDescent="0.25">
      <c r="A36" s="19" t="s">
        <v>49</v>
      </c>
      <c r="B36" s="20" t="s">
        <v>34</v>
      </c>
      <c r="C36" s="25"/>
      <c r="D36" s="22">
        <v>2.64</v>
      </c>
      <c r="E36" s="25"/>
      <c r="F36" s="22">
        <v>6.87</v>
      </c>
      <c r="G36" s="25"/>
      <c r="H36" s="22">
        <v>12</v>
      </c>
      <c r="I36" s="25"/>
      <c r="J36" s="22"/>
      <c r="K36" s="25"/>
      <c r="L36" s="73"/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21.51</v>
      </c>
      <c r="AY36" s="22">
        <f t="shared" si="3"/>
        <v>20.388625592417064</v>
      </c>
    </row>
    <row r="37" spans="1:51" x14ac:dyDescent="0.25">
      <c r="A37" s="19" t="s">
        <v>50</v>
      </c>
      <c r="B37" s="20" t="s">
        <v>34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1" x14ac:dyDescent="0.25">
      <c r="A38" s="19" t="s">
        <v>51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1" x14ac:dyDescent="0.25">
      <c r="A39" s="19" t="s">
        <v>208</v>
      </c>
      <c r="B39" s="20" t="s">
        <v>34</v>
      </c>
      <c r="C39" s="25"/>
      <c r="D39" s="22"/>
      <c r="E39" s="25"/>
      <c r="F39" s="22">
        <v>16.03</v>
      </c>
      <c r="G39" s="25"/>
      <c r="H39" s="22">
        <v>16</v>
      </c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32.03</v>
      </c>
      <c r="AY39" s="22">
        <f t="shared" si="3"/>
        <v>30.360189573459717</v>
      </c>
    </row>
    <row r="40" spans="1:51" x14ac:dyDescent="0.25">
      <c r="A40" s="19" t="s">
        <v>133</v>
      </c>
      <c r="B40" s="20" t="s">
        <v>53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0</v>
      </c>
      <c r="AY40" s="22">
        <f t="shared" si="3"/>
        <v>0</v>
      </c>
    </row>
    <row r="41" spans="1:51" x14ac:dyDescent="0.25">
      <c r="A41" s="19" t="s">
        <v>54</v>
      </c>
      <c r="B41" s="20" t="s">
        <v>55</v>
      </c>
      <c r="C41" s="25"/>
      <c r="D41" s="22"/>
      <c r="E41" s="25"/>
      <c r="F41" s="22"/>
      <c r="G41" s="25"/>
      <c r="H41" s="22"/>
      <c r="I41" s="25"/>
      <c r="J41" s="22">
        <v>11.6</v>
      </c>
      <c r="K41" s="25"/>
      <c r="L41" s="73">
        <v>2</v>
      </c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13.6</v>
      </c>
      <c r="AY41" s="22">
        <f t="shared" si="3"/>
        <v>12.890995260663507</v>
      </c>
    </row>
    <row r="42" spans="1:51" x14ac:dyDescent="0.25">
      <c r="A42" s="19" t="s">
        <v>56</v>
      </c>
      <c r="B42" s="20" t="s">
        <v>34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1" x14ac:dyDescent="0.25">
      <c r="A43" s="19" t="s">
        <v>57</v>
      </c>
      <c r="B43" s="20" t="s">
        <v>53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1" x14ac:dyDescent="0.25">
      <c r="A44" s="19" t="s">
        <v>58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>
        <v>3.49</v>
      </c>
      <c r="K44" s="25"/>
      <c r="L44" s="73">
        <v>5.5</v>
      </c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8.99</v>
      </c>
      <c r="AY44" s="22">
        <f t="shared" si="3"/>
        <v>8.5213270142180093</v>
      </c>
    </row>
    <row r="45" spans="1:51" x14ac:dyDescent="0.25">
      <c r="A45" s="19" t="s">
        <v>110</v>
      </c>
      <c r="B45" s="20" t="s">
        <v>34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1" x14ac:dyDescent="0.25">
      <c r="A46" s="19" t="s">
        <v>111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0</v>
      </c>
      <c r="AY46" s="22">
        <f t="shared" si="3"/>
        <v>0</v>
      </c>
    </row>
    <row r="47" spans="1:51" x14ac:dyDescent="0.25">
      <c r="A47" s="19" t="s">
        <v>112</v>
      </c>
      <c r="B47" s="20" t="s">
        <v>53</v>
      </c>
      <c r="C47" s="25"/>
      <c r="D47" s="22"/>
      <c r="E47" s="25"/>
      <c r="F47" s="22"/>
      <c r="G47" s="25"/>
      <c r="H47" s="22"/>
      <c r="I47" s="25"/>
      <c r="J47" s="22">
        <v>14</v>
      </c>
      <c r="K47" s="25"/>
      <c r="L47" s="73">
        <v>3</v>
      </c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17</v>
      </c>
      <c r="AY47" s="22">
        <f t="shared" si="3"/>
        <v>16.113744075829384</v>
      </c>
    </row>
    <row r="48" spans="1:51" x14ac:dyDescent="0.25">
      <c r="A48" s="19" t="s">
        <v>203</v>
      </c>
      <c r="B48" s="20" t="s">
        <v>34</v>
      </c>
      <c r="C48" s="25"/>
      <c r="D48" s="22"/>
      <c r="E48" s="25"/>
      <c r="F48" s="22"/>
      <c r="G48" s="25"/>
      <c r="H48" s="22"/>
      <c r="I48" s="25"/>
      <c r="J48" s="22"/>
      <c r="K48" s="25"/>
      <c r="L48" s="73"/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0</v>
      </c>
      <c r="AY48" s="22">
        <f t="shared" si="3"/>
        <v>0</v>
      </c>
    </row>
    <row r="49" spans="1:53" x14ac:dyDescent="0.25">
      <c r="A49" s="19" t="s">
        <v>134</v>
      </c>
      <c r="B49" s="20" t="s">
        <v>34</v>
      </c>
      <c r="C49" s="25"/>
      <c r="D49" s="22"/>
      <c r="E49" s="25"/>
      <c r="F49" s="22"/>
      <c r="G49" s="25"/>
      <c r="H49" s="22"/>
      <c r="I49" s="25"/>
      <c r="J49" s="22"/>
      <c r="K49" s="25"/>
      <c r="L49" s="73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2"/>
        <v>0</v>
      </c>
      <c r="AY49" s="22">
        <f t="shared" si="3"/>
        <v>0</v>
      </c>
    </row>
    <row r="50" spans="1:53" x14ac:dyDescent="0.25">
      <c r="A50" s="19" t="s">
        <v>204</v>
      </c>
      <c r="B50" s="20" t="s">
        <v>34</v>
      </c>
      <c r="C50" s="25"/>
      <c r="D50" s="22">
        <f>5+10.28</f>
        <v>15.28</v>
      </c>
      <c r="E50" s="25"/>
      <c r="F50" s="22">
        <f>4.98+2.47</f>
        <v>7.4500000000000011</v>
      </c>
      <c r="G50" s="25"/>
      <c r="H50" s="22">
        <v>20</v>
      </c>
      <c r="I50" s="25"/>
      <c r="J50" s="22">
        <v>3.83</v>
      </c>
      <c r="K50" s="25"/>
      <c r="L50" s="73">
        <v>20</v>
      </c>
      <c r="M50" s="25"/>
      <c r="N50" s="22"/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66.56</v>
      </c>
      <c r="AY50" s="22">
        <f t="shared" si="3"/>
        <v>63.090047393364934</v>
      </c>
    </row>
    <row r="51" spans="1:53" x14ac:dyDescent="0.25">
      <c r="A51" s="19" t="s">
        <v>220</v>
      </c>
      <c r="B51" s="20" t="s">
        <v>34</v>
      </c>
      <c r="C51" s="25"/>
      <c r="D51" s="22"/>
      <c r="E51" s="25"/>
      <c r="F51" s="22"/>
      <c r="G51" s="25"/>
      <c r="H51" s="22">
        <v>8</v>
      </c>
      <c r="I51" s="25"/>
      <c r="J51" s="22">
        <v>2.9</v>
      </c>
      <c r="K51" s="25"/>
      <c r="L51" s="73">
        <v>20</v>
      </c>
      <c r="M51" s="25"/>
      <c r="N51" s="22"/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30.9</v>
      </c>
      <c r="AY51" s="22">
        <f t="shared" si="3"/>
        <v>29.289099526066352</v>
      </c>
    </row>
    <row r="52" spans="1:53" x14ac:dyDescent="0.25">
      <c r="A52" s="19" t="s">
        <v>59</v>
      </c>
      <c r="B52" s="20"/>
      <c r="C52" s="25"/>
      <c r="D52" s="22">
        <f>8.99+4.8+6.5</f>
        <v>20.29</v>
      </c>
      <c r="E52" s="25"/>
      <c r="F52" s="22">
        <f>7+9.55+1+2</f>
        <v>19.55</v>
      </c>
      <c r="G52" s="25"/>
      <c r="H52" s="22">
        <v>7.7</v>
      </c>
      <c r="I52" s="25"/>
      <c r="J52" s="22">
        <f>12.34+10.28+0.5</f>
        <v>23.119999999999997</v>
      </c>
      <c r="K52" s="25"/>
      <c r="L52" s="73">
        <v>13</v>
      </c>
      <c r="M52" s="25"/>
      <c r="N52" s="22"/>
      <c r="O52" s="25"/>
      <c r="P52" s="22"/>
      <c r="Q52" s="25"/>
      <c r="R52" s="22"/>
      <c r="S52" s="21"/>
      <c r="T52" s="22"/>
      <c r="U52" s="25"/>
      <c r="V52" s="22"/>
      <c r="W52" s="25"/>
      <c r="X52" s="22"/>
      <c r="Y52" s="25"/>
      <c r="Z52" s="22"/>
      <c r="AA52" s="21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2"/>
        <v>83.66</v>
      </c>
      <c r="AY52" s="22">
        <f t="shared" si="3"/>
        <v>79.29857819905213</v>
      </c>
    </row>
    <row r="53" spans="1:53" s="18" customFormat="1" x14ac:dyDescent="0.25">
      <c r="A53" s="12" t="s">
        <v>60</v>
      </c>
      <c r="B53" s="13"/>
      <c r="C53" s="14"/>
      <c r="D53" s="15">
        <f>SUM(D54:D61)</f>
        <v>34.150000000000006</v>
      </c>
      <c r="E53" s="14"/>
      <c r="F53" s="15">
        <f>SUM(F54:F61)</f>
        <v>24.21</v>
      </c>
      <c r="G53" s="14"/>
      <c r="H53" s="15">
        <f>SUM(H54:H61)</f>
        <v>29.6</v>
      </c>
      <c r="I53" s="14"/>
      <c r="J53" s="15">
        <f>SUM(J54:J61)</f>
        <v>8.25</v>
      </c>
      <c r="K53" s="70"/>
      <c r="L53" s="70">
        <f>SUM(L54:L61)</f>
        <v>34.5</v>
      </c>
      <c r="M53" s="14"/>
      <c r="N53" s="15">
        <f>SUM(N54:N61)</f>
        <v>0</v>
      </c>
      <c r="O53" s="14"/>
      <c r="P53" s="15">
        <f>SUM(P54:P61)</f>
        <v>0</v>
      </c>
      <c r="Q53" s="14"/>
      <c r="R53" s="15">
        <f>SUM(R54:R61)</f>
        <v>0</v>
      </c>
      <c r="S53" s="14"/>
      <c r="T53" s="15">
        <f>SUM(T54:T61)</f>
        <v>0</v>
      </c>
      <c r="U53" s="14"/>
      <c r="V53" s="15">
        <f>SUM(V54:V61)</f>
        <v>0</v>
      </c>
      <c r="W53" s="14"/>
      <c r="X53" s="15">
        <f>SUM(X54:X61)</f>
        <v>0</v>
      </c>
      <c r="Y53" s="14"/>
      <c r="Z53" s="15">
        <f>SUM(Z54:Z61)</f>
        <v>0</v>
      </c>
      <c r="AA53" s="14"/>
      <c r="AB53" s="15">
        <f>SUM(AB54:AB61)</f>
        <v>0</v>
      </c>
      <c r="AC53" s="14"/>
      <c r="AD53" s="15">
        <f>SUM(AD54:AD61)</f>
        <v>0</v>
      </c>
      <c r="AE53" s="14"/>
      <c r="AF53" s="15">
        <f>SUM(AF54:AF61)</f>
        <v>0</v>
      </c>
      <c r="AG53" s="14"/>
      <c r="AH53" s="15">
        <f>SUM(AH54:AH61)</f>
        <v>0</v>
      </c>
      <c r="AI53" s="14"/>
      <c r="AJ53" s="15">
        <f>SUM(AJ54:AJ61)</f>
        <v>0</v>
      </c>
      <c r="AK53" s="14"/>
      <c r="AL53" s="15">
        <f>SUM(AL54:AL61)</f>
        <v>0</v>
      </c>
      <c r="AM53" s="14"/>
      <c r="AN53" s="15">
        <f>SUM(AN54:AN61)</f>
        <v>0</v>
      </c>
      <c r="AO53" s="14"/>
      <c r="AP53" s="15">
        <f>SUM(AP54:AP61)</f>
        <v>0</v>
      </c>
      <c r="AQ53" s="14"/>
      <c r="AR53" s="15">
        <f>SUM(AR54:AR61)</f>
        <v>0</v>
      </c>
      <c r="AS53" s="14"/>
      <c r="AT53" s="15">
        <f>SUM(AT54:AT61)</f>
        <v>0</v>
      </c>
      <c r="AU53" s="14"/>
      <c r="AV53" s="15">
        <f>SUM(AV54:AV61)</f>
        <v>0</v>
      </c>
      <c r="AX53" s="71">
        <f t="shared" si="2"/>
        <v>130.71</v>
      </c>
      <c r="AY53" s="15">
        <f t="shared" si="3"/>
        <v>123.89573459715642</v>
      </c>
    </row>
    <row r="54" spans="1:53" x14ac:dyDescent="0.25">
      <c r="A54" s="19" t="s">
        <v>61</v>
      </c>
      <c r="B54" s="20" t="s">
        <v>34</v>
      </c>
      <c r="C54" s="25"/>
      <c r="D54" s="22">
        <v>7.65</v>
      </c>
      <c r="E54" s="25"/>
      <c r="F54" s="22">
        <v>11.48</v>
      </c>
      <c r="G54" s="25"/>
      <c r="H54" s="22">
        <v>6.6</v>
      </c>
      <c r="I54" s="25"/>
      <c r="J54" s="22"/>
      <c r="K54" s="1"/>
      <c r="L54" s="73">
        <v>10</v>
      </c>
      <c r="M54" s="25"/>
      <c r="N54" s="22"/>
      <c r="O54" s="25"/>
      <c r="P54" s="22"/>
      <c r="Q54" s="25"/>
      <c r="R54" s="22"/>
      <c r="S54" s="25"/>
      <c r="T54" s="22"/>
      <c r="U54" s="25"/>
      <c r="V54" s="22"/>
      <c r="W54" s="25"/>
      <c r="X54" s="22"/>
      <c r="Y54" s="25"/>
      <c r="Z54" s="22"/>
      <c r="AA54" s="25"/>
      <c r="AB54" s="22"/>
      <c r="AC54" s="25"/>
      <c r="AD54" s="22"/>
      <c r="AE54" s="25"/>
      <c r="AF54" s="22"/>
      <c r="AG54" s="25"/>
      <c r="AH54" s="22"/>
      <c r="AI54" s="25"/>
      <c r="AJ54" s="22"/>
      <c r="AK54" s="25"/>
      <c r="AL54" s="22"/>
      <c r="AM54" s="25"/>
      <c r="AN54" s="22"/>
      <c r="AO54" s="25"/>
      <c r="AP54" s="22"/>
      <c r="AQ54" s="25"/>
      <c r="AR54" s="22"/>
      <c r="AS54" s="25"/>
      <c r="AT54" s="22"/>
      <c r="AU54" s="25"/>
      <c r="AV54" s="22"/>
      <c r="AW54"/>
      <c r="AX54" s="74">
        <f t="shared" si="2"/>
        <v>35.730000000000004</v>
      </c>
      <c r="AY54" s="22">
        <f t="shared" si="3"/>
        <v>33.867298578199055</v>
      </c>
    </row>
    <row r="55" spans="1:53" x14ac:dyDescent="0.25">
      <c r="A55" s="19" t="s">
        <v>62</v>
      </c>
      <c r="B55" s="20" t="s">
        <v>34</v>
      </c>
      <c r="C55"/>
      <c r="D55" s="22">
        <v>1.52</v>
      </c>
      <c r="E55"/>
      <c r="F55" s="22"/>
      <c r="G55"/>
      <c r="H55" s="22"/>
      <c r="I55"/>
      <c r="J55" s="22">
        <v>2.85</v>
      </c>
      <c r="K55" s="1"/>
      <c r="L55" s="22"/>
      <c r="M55"/>
      <c r="N55" s="22"/>
      <c r="O55"/>
      <c r="P55" s="22"/>
      <c r="Q55"/>
      <c r="R55" s="22"/>
      <c r="S55"/>
      <c r="T55" s="22"/>
      <c r="U55"/>
      <c r="V55" s="22"/>
      <c r="W55"/>
      <c r="X55" s="22"/>
      <c r="Y55"/>
      <c r="Z55" s="22"/>
      <c r="AA55"/>
      <c r="AB55" s="22"/>
      <c r="AC55"/>
      <c r="AD55" s="22"/>
      <c r="AE55"/>
      <c r="AF55" s="22"/>
      <c r="AG55"/>
      <c r="AH55" s="22"/>
      <c r="AI55"/>
      <c r="AJ55" s="22"/>
      <c r="AK55"/>
      <c r="AL55" s="22"/>
      <c r="AM55"/>
      <c r="AN55" s="22"/>
      <c r="AO55"/>
      <c r="AP55" s="22"/>
      <c r="AQ55"/>
      <c r="AR55" s="22"/>
      <c r="AS55"/>
      <c r="AT55" s="22"/>
      <c r="AU55"/>
      <c r="AV55" s="22"/>
      <c r="AW55"/>
      <c r="AX55" s="74">
        <f t="shared" si="2"/>
        <v>4.37</v>
      </c>
      <c r="AY55" s="22">
        <f t="shared" si="3"/>
        <v>4.1421800947867302</v>
      </c>
    </row>
    <row r="56" spans="1:53" x14ac:dyDescent="0.25">
      <c r="A56" s="19" t="s">
        <v>63</v>
      </c>
      <c r="B56" s="20" t="s">
        <v>34</v>
      </c>
      <c r="C56"/>
      <c r="D56" s="22">
        <v>14.26</v>
      </c>
      <c r="E56"/>
      <c r="F56" s="22"/>
      <c r="G56"/>
      <c r="H56" s="22"/>
      <c r="I56"/>
      <c r="J56" s="22"/>
      <c r="K56" s="1"/>
      <c r="L56" s="22"/>
      <c r="M56"/>
      <c r="N56" s="22"/>
      <c r="O56"/>
      <c r="P56" s="22"/>
      <c r="Q56"/>
      <c r="R56" s="22"/>
      <c r="S56"/>
      <c r="T56" s="22"/>
      <c r="U56"/>
      <c r="V56" s="22"/>
      <c r="W56"/>
      <c r="X56" s="22"/>
      <c r="Y56"/>
      <c r="Z56" s="22"/>
      <c r="AA56"/>
      <c r="AB56" s="22"/>
      <c r="AC56"/>
      <c r="AD56" s="22"/>
      <c r="AE56"/>
      <c r="AF56" s="22"/>
      <c r="AG56"/>
      <c r="AH56" s="22"/>
      <c r="AI56"/>
      <c r="AJ56" s="22"/>
      <c r="AK56"/>
      <c r="AL56" s="22"/>
      <c r="AM56"/>
      <c r="AN56" s="22"/>
      <c r="AO56"/>
      <c r="AP56" s="22"/>
      <c r="AQ56"/>
      <c r="AR56" s="22"/>
      <c r="AS56"/>
      <c r="AT56" s="22"/>
      <c r="AU56"/>
      <c r="AV56" s="22"/>
      <c r="AW56"/>
      <c r="AX56" s="74">
        <f t="shared" si="2"/>
        <v>14.26</v>
      </c>
      <c r="AY56" s="22">
        <f t="shared" si="3"/>
        <v>13.51658767772512</v>
      </c>
    </row>
    <row r="57" spans="1:53" x14ac:dyDescent="0.25">
      <c r="A57" s="19" t="s">
        <v>64</v>
      </c>
      <c r="B57" s="20" t="s">
        <v>34</v>
      </c>
      <c r="C57" s="25"/>
      <c r="D57" s="22">
        <f>6.92+2.6</f>
        <v>9.52</v>
      </c>
      <c r="E57" s="25"/>
      <c r="F57" s="22"/>
      <c r="G57" s="25"/>
      <c r="H57" s="22">
        <v>11</v>
      </c>
      <c r="I57" s="25"/>
      <c r="J57" s="22">
        <v>3.4</v>
      </c>
      <c r="K57" s="1"/>
      <c r="L57" s="73">
        <v>11.5</v>
      </c>
      <c r="M57" s="25"/>
      <c r="N57" s="22"/>
      <c r="O57" s="25"/>
      <c r="P57" s="22"/>
      <c r="Q57" s="25"/>
      <c r="R57" s="22"/>
      <c r="S57" s="25"/>
      <c r="T57" s="22"/>
      <c r="U57" s="85"/>
      <c r="V57" s="22"/>
      <c r="W57" s="25"/>
      <c r="X57" s="22"/>
      <c r="Y57" s="25"/>
      <c r="Z57" s="22"/>
      <c r="AA57" s="25"/>
      <c r="AB57" s="22"/>
      <c r="AC57" s="25"/>
      <c r="AD57" s="22"/>
      <c r="AE57" s="25"/>
      <c r="AF57" s="22"/>
      <c r="AG57" s="25"/>
      <c r="AH57" s="22"/>
      <c r="AI57" s="25"/>
      <c r="AJ57" s="22"/>
      <c r="AK57" s="25"/>
      <c r="AL57" s="22"/>
      <c r="AM57" s="25"/>
      <c r="AN57" s="22"/>
      <c r="AO57" s="25"/>
      <c r="AP57" s="22"/>
      <c r="AQ57" s="25"/>
      <c r="AR57" s="22"/>
      <c r="AS57" s="25"/>
      <c r="AT57" s="22"/>
      <c r="AU57" s="25"/>
      <c r="AV57" s="22"/>
      <c r="AW57"/>
      <c r="AX57" s="74">
        <f t="shared" si="2"/>
        <v>35.42</v>
      </c>
      <c r="AY57" s="22">
        <f t="shared" si="3"/>
        <v>33.573459715639814</v>
      </c>
    </row>
    <row r="58" spans="1:53" x14ac:dyDescent="0.25">
      <c r="A58" s="19" t="s">
        <v>65</v>
      </c>
      <c r="B58" s="20" t="s">
        <v>34</v>
      </c>
      <c r="C58" s="25"/>
      <c r="D58" s="22"/>
      <c r="E58" s="25"/>
      <c r="F58" s="22"/>
      <c r="G58" s="25"/>
      <c r="H58" s="22"/>
      <c r="I58" s="25"/>
      <c r="J58" s="22"/>
      <c r="K58" s="1"/>
      <c r="L58" s="73"/>
      <c r="M58" s="25"/>
      <c r="N58" s="22"/>
      <c r="O58" s="25"/>
      <c r="P58" s="22"/>
      <c r="Q58" s="25"/>
      <c r="R58" s="22"/>
      <c r="S58" s="25"/>
      <c r="T58" s="22"/>
      <c r="U58" s="25"/>
      <c r="V58" s="22"/>
      <c r="W58" s="25"/>
      <c r="X58" s="22"/>
      <c r="Y58" s="25"/>
      <c r="Z58" s="22"/>
      <c r="AA58" s="25"/>
      <c r="AB58" s="22"/>
      <c r="AC58" s="25"/>
      <c r="AD58" s="22"/>
      <c r="AE58" s="25"/>
      <c r="AF58" s="22"/>
      <c r="AG58" s="25"/>
      <c r="AH58" s="22"/>
      <c r="AI58" s="25"/>
      <c r="AJ58" s="22"/>
      <c r="AK58" s="25"/>
      <c r="AL58" s="22"/>
      <c r="AM58" s="25"/>
      <c r="AN58" s="22"/>
      <c r="AO58" s="25"/>
      <c r="AP58" s="22"/>
      <c r="AQ58" s="25"/>
      <c r="AR58" s="22"/>
      <c r="AS58" s="25"/>
      <c r="AT58" s="22"/>
      <c r="AU58" s="25"/>
      <c r="AV58" s="22"/>
      <c r="AW58"/>
      <c r="AX58" s="74">
        <f t="shared" si="2"/>
        <v>0</v>
      </c>
      <c r="AY58" s="22">
        <f t="shared" si="3"/>
        <v>0</v>
      </c>
    </row>
    <row r="59" spans="1:53" x14ac:dyDescent="0.25">
      <c r="A59" s="19" t="s">
        <v>66</v>
      </c>
      <c r="B59" s="20" t="s">
        <v>34</v>
      </c>
      <c r="C59" s="25"/>
      <c r="D59" s="22">
        <v>1.2</v>
      </c>
      <c r="E59" s="25"/>
      <c r="F59" s="22">
        <v>12.73</v>
      </c>
      <c r="G59" s="25"/>
      <c r="H59" s="22">
        <v>12</v>
      </c>
      <c r="I59" s="25"/>
      <c r="J59" s="22">
        <v>2</v>
      </c>
      <c r="K59" s="1"/>
      <c r="L59" s="73">
        <v>11</v>
      </c>
      <c r="M59" s="25"/>
      <c r="N59" s="22"/>
      <c r="O59" s="25"/>
      <c r="P59" s="22"/>
      <c r="Q59" s="25"/>
      <c r="R59" s="22"/>
      <c r="S59" s="25"/>
      <c r="T59" s="22"/>
      <c r="U59" s="2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2"/>
        <v>38.930000000000007</v>
      </c>
      <c r="AY59" s="22">
        <f t="shared" si="3"/>
        <v>36.900473933649295</v>
      </c>
    </row>
    <row r="60" spans="1:53" x14ac:dyDescent="0.25">
      <c r="A60" s="19" t="s">
        <v>38</v>
      </c>
      <c r="B60" s="20" t="s">
        <v>34</v>
      </c>
      <c r="C60" s="25"/>
      <c r="D60" s="22"/>
      <c r="E60" s="25"/>
      <c r="F60" s="22"/>
      <c r="G60" s="25"/>
      <c r="H60" s="22"/>
      <c r="I60" s="25"/>
      <c r="J60" s="22"/>
      <c r="K60" s="1"/>
      <c r="L60" s="73">
        <v>2</v>
      </c>
      <c r="M60" s="25"/>
      <c r="N60" s="22"/>
      <c r="O60" s="25"/>
      <c r="P60" s="22"/>
      <c r="Q60" s="25"/>
      <c r="R60" s="22"/>
      <c r="S60" s="25"/>
      <c r="T60" s="22"/>
      <c r="U60" s="25"/>
      <c r="V60" s="22"/>
      <c r="W60" s="25"/>
      <c r="X60" s="22"/>
      <c r="Y60" s="25"/>
      <c r="Z60" s="22"/>
      <c r="AA60" s="25"/>
      <c r="AB60" s="22"/>
      <c r="AC60" s="25"/>
      <c r="AD60" s="22"/>
      <c r="AE60" s="25"/>
      <c r="AF60" s="22"/>
      <c r="AG60" s="25"/>
      <c r="AH60" s="22"/>
      <c r="AI60" s="25"/>
      <c r="AJ60" s="22"/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 t="shared" si="2"/>
        <v>2</v>
      </c>
      <c r="AY60" s="22">
        <f t="shared" si="3"/>
        <v>1.8957345971563981</v>
      </c>
    </row>
    <row r="61" spans="1:53" x14ac:dyDescent="0.25">
      <c r="A61" s="19" t="s">
        <v>114</v>
      </c>
      <c r="B61" s="20"/>
      <c r="C61" s="25"/>
      <c r="D61" s="22"/>
      <c r="E61" s="25"/>
      <c r="F61" s="22"/>
      <c r="G61" s="25"/>
      <c r="H61" s="22"/>
      <c r="I61" s="25"/>
      <c r="J61" s="22"/>
      <c r="K61" s="1"/>
      <c r="L61" s="73"/>
      <c r="M61" s="25"/>
      <c r="N61" s="22"/>
      <c r="O61" s="25"/>
      <c r="P61" s="22"/>
      <c r="Q61" s="25"/>
      <c r="R61" s="22"/>
      <c r="S61" s="25"/>
      <c r="T61" s="22"/>
      <c r="U61" s="25"/>
      <c r="V61" s="22"/>
      <c r="W61" s="25"/>
      <c r="X61" s="22"/>
      <c r="Y61" s="25"/>
      <c r="Z61" s="22"/>
      <c r="AA61" s="25"/>
      <c r="AB61" s="22"/>
      <c r="AC61" s="25"/>
      <c r="AD61" s="22"/>
      <c r="AE61" s="25"/>
      <c r="AF61" s="22"/>
      <c r="AG61" s="25"/>
      <c r="AH61" s="22"/>
      <c r="AI61" s="25"/>
      <c r="AJ61" s="22"/>
      <c r="AK61" s="25"/>
      <c r="AL61" s="22"/>
      <c r="AM61" s="25"/>
      <c r="AN61" s="22"/>
      <c r="AO61" s="25"/>
      <c r="AP61" s="22"/>
      <c r="AQ61" s="25"/>
      <c r="AR61" s="22"/>
      <c r="AS61" s="25"/>
      <c r="AT61" s="22"/>
      <c r="AU61" s="25"/>
      <c r="AV61" s="22"/>
      <c r="AW61"/>
      <c r="AX61" s="74">
        <f t="shared" si="2"/>
        <v>0</v>
      </c>
      <c r="AY61" s="22">
        <f t="shared" si="3"/>
        <v>0</v>
      </c>
    </row>
    <row r="62" spans="1:53" s="18" customFormat="1" x14ac:dyDescent="0.25">
      <c r="A62" s="12" t="s">
        <v>67</v>
      </c>
      <c r="B62" s="13"/>
      <c r="C62" s="14"/>
      <c r="D62" s="15">
        <f>SUM(D63:D64)</f>
        <v>5</v>
      </c>
      <c r="E62" s="14"/>
      <c r="F62" s="15">
        <f>SUM(F63:F64)</f>
        <v>10.4</v>
      </c>
      <c r="G62" s="14"/>
      <c r="H62" s="15">
        <f>SUM(H63:H64)</f>
        <v>2.5</v>
      </c>
      <c r="I62" s="14"/>
      <c r="J62" s="15">
        <f>SUM(J63:J64)</f>
        <v>2.5</v>
      </c>
      <c r="K62" s="70"/>
      <c r="L62" s="70">
        <f>SUM(L63:L64)</f>
        <v>2.9</v>
      </c>
      <c r="M62" s="14"/>
      <c r="N62" s="15">
        <f>SUM(N63:N64)</f>
        <v>0</v>
      </c>
      <c r="O62" s="14"/>
      <c r="P62" s="15">
        <f>SUM(P63:P64)</f>
        <v>0</v>
      </c>
      <c r="Q62" s="14"/>
      <c r="R62" s="15">
        <f>SUM(R63:R64)</f>
        <v>0</v>
      </c>
      <c r="S62" s="14"/>
      <c r="T62" s="15">
        <f>SUM(T63:T64)</f>
        <v>0</v>
      </c>
      <c r="U62" s="14"/>
      <c r="V62" s="15">
        <f>SUM(V63:V64)</f>
        <v>0</v>
      </c>
      <c r="W62" s="14"/>
      <c r="X62" s="15">
        <f>SUM(X63:X64)</f>
        <v>0</v>
      </c>
      <c r="Y62" s="14"/>
      <c r="Z62" s="15">
        <f>SUM(Z63:Z64)</f>
        <v>0</v>
      </c>
      <c r="AA62" s="14"/>
      <c r="AB62" s="15">
        <f>SUM(AB63:AB64)</f>
        <v>0</v>
      </c>
      <c r="AC62" s="14"/>
      <c r="AD62" s="15">
        <f>SUM(AD63:AD64)</f>
        <v>0</v>
      </c>
      <c r="AE62" s="14"/>
      <c r="AF62" s="15">
        <f>SUM(AF63:AF64)</f>
        <v>0</v>
      </c>
      <c r="AG62" s="14"/>
      <c r="AH62" s="15">
        <f>SUM(AH63:AH64)</f>
        <v>0</v>
      </c>
      <c r="AI62" s="14"/>
      <c r="AJ62" s="15">
        <f>SUM(AJ63:AJ64)</f>
        <v>0</v>
      </c>
      <c r="AK62" s="14"/>
      <c r="AL62" s="15">
        <f>SUM(AL63:AL64)</f>
        <v>0</v>
      </c>
      <c r="AM62" s="14"/>
      <c r="AN62" s="15">
        <f>SUM(AN63:AN64)</f>
        <v>0</v>
      </c>
      <c r="AO62" s="14"/>
      <c r="AP62" s="15">
        <f>SUM(AP63:AP64)</f>
        <v>0</v>
      </c>
      <c r="AQ62" s="14"/>
      <c r="AR62" s="15">
        <f>SUM(AR63:AR64)</f>
        <v>0</v>
      </c>
      <c r="AS62" s="14"/>
      <c r="AT62" s="15">
        <f>SUM(AT63:AT64)</f>
        <v>0</v>
      </c>
      <c r="AU62" s="14"/>
      <c r="AV62" s="15">
        <f>SUM(AV63:AV64)</f>
        <v>0</v>
      </c>
      <c r="AX62" s="71">
        <f t="shared" si="2"/>
        <v>23.3</v>
      </c>
      <c r="AY62" s="15">
        <f t="shared" si="3"/>
        <v>22.085308056872041</v>
      </c>
    </row>
    <row r="63" spans="1:53" x14ac:dyDescent="0.25">
      <c r="A63" s="19" t="s">
        <v>68</v>
      </c>
      <c r="B63" s="20" t="s">
        <v>69</v>
      </c>
      <c r="C63" s="21">
        <v>2</v>
      </c>
      <c r="D63" s="22">
        <v>5</v>
      </c>
      <c r="E63" s="21">
        <v>3</v>
      </c>
      <c r="F63" s="22">
        <v>7.5</v>
      </c>
      <c r="G63" s="21">
        <v>1</v>
      </c>
      <c r="H63" s="22">
        <v>2.5</v>
      </c>
      <c r="I63" s="21">
        <v>1</v>
      </c>
      <c r="J63" s="22">
        <v>2.5</v>
      </c>
      <c r="K63" s="24"/>
      <c r="L63" s="73"/>
      <c r="M63" s="21"/>
      <c r="N63" s="22"/>
      <c r="O63" s="21"/>
      <c r="P63" s="22"/>
      <c r="Q63" s="21"/>
      <c r="R63" s="22"/>
      <c r="S63" s="21"/>
      <c r="T63" s="22"/>
      <c r="U63" s="21"/>
      <c r="V63" s="22"/>
      <c r="W63" s="21"/>
      <c r="X63" s="22"/>
      <c r="Y63" s="21"/>
      <c r="Z63" s="22"/>
      <c r="AA63" s="21"/>
      <c r="AB63" s="22"/>
      <c r="AC63" s="21"/>
      <c r="AD63" s="22"/>
      <c r="AE63" s="21"/>
      <c r="AF63" s="22"/>
      <c r="AG63" s="21"/>
      <c r="AH63" s="22"/>
      <c r="AI63" s="21"/>
      <c r="AJ63" s="22"/>
      <c r="AK63" s="21"/>
      <c r="AL63" s="22"/>
      <c r="AM63" s="21"/>
      <c r="AN63" s="22"/>
      <c r="AO63" s="21"/>
      <c r="AP63" s="22"/>
      <c r="AQ63" s="21"/>
      <c r="AR63" s="22"/>
      <c r="AS63" s="21"/>
      <c r="AT63" s="22"/>
      <c r="AU63" s="21"/>
      <c r="AV63" s="22"/>
      <c r="AW63"/>
      <c r="AX63" s="74">
        <f t="shared" si="2"/>
        <v>17.5</v>
      </c>
      <c r="AY63" s="22">
        <f t="shared" si="3"/>
        <v>16.587677725118485</v>
      </c>
      <c r="BA63" s="75"/>
    </row>
    <row r="64" spans="1:53" x14ac:dyDescent="0.25">
      <c r="A64" s="7" t="s">
        <v>70</v>
      </c>
      <c r="B64" s="8" t="s">
        <v>69</v>
      </c>
      <c r="C64" s="26"/>
      <c r="D64" s="10"/>
      <c r="E64" s="26">
        <v>1</v>
      </c>
      <c r="F64" s="10">
        <v>2.9</v>
      </c>
      <c r="G64" s="26"/>
      <c r="H64" s="10"/>
      <c r="I64" s="26"/>
      <c r="J64" s="10"/>
      <c r="K64" s="26">
        <v>1</v>
      </c>
      <c r="L64" s="68">
        <v>2.9</v>
      </c>
      <c r="M64" s="26"/>
      <c r="N64" s="10"/>
      <c r="O64" s="26"/>
      <c r="P64" s="10"/>
      <c r="Q64" s="26"/>
      <c r="R64" s="10"/>
      <c r="S64" s="26"/>
      <c r="T64" s="10"/>
      <c r="U64" s="26"/>
      <c r="V64" s="10"/>
      <c r="W64" s="26"/>
      <c r="X64" s="10"/>
      <c r="Y64" s="26"/>
      <c r="Z64" s="10"/>
      <c r="AA64" s="26"/>
      <c r="AB64" s="10"/>
      <c r="AC64" s="26"/>
      <c r="AD64" s="10"/>
      <c r="AE64" s="26"/>
      <c r="AF64" s="10"/>
      <c r="AG64" s="26"/>
      <c r="AH64" s="10"/>
      <c r="AI64" s="26"/>
      <c r="AJ64" s="10"/>
      <c r="AK64" s="26"/>
      <c r="AL64" s="10"/>
      <c r="AM64" s="26"/>
      <c r="AN64" s="10"/>
      <c r="AO64" s="26"/>
      <c r="AP64" s="10"/>
      <c r="AQ64" s="26"/>
      <c r="AR64" s="10"/>
      <c r="AS64" s="26"/>
      <c r="AT64" s="10"/>
      <c r="AU64" s="26"/>
      <c r="AV64" s="10"/>
      <c r="AW64"/>
      <c r="AX64" s="77">
        <f t="shared" si="2"/>
        <v>5.8</v>
      </c>
      <c r="AY64" s="10">
        <f t="shared" si="3"/>
        <v>5.4976303317535544</v>
      </c>
    </row>
    <row r="65" spans="1:52" s="18" customFormat="1" x14ac:dyDescent="0.25">
      <c r="A65" s="12" t="s">
        <v>71</v>
      </c>
      <c r="B65" s="13"/>
      <c r="C65" s="14"/>
      <c r="D65" s="15">
        <f>SUM(D66:D66)</f>
        <v>0</v>
      </c>
      <c r="E65" s="14"/>
      <c r="F65" s="15">
        <f>SUM(F66:F66)</f>
        <v>0</v>
      </c>
      <c r="G65" s="14"/>
      <c r="H65" s="15">
        <f>SUM(H66:H66)</f>
        <v>0</v>
      </c>
      <c r="I65" s="14"/>
      <c r="J65" s="15">
        <f>SUM(J66:J66)</f>
        <v>0</v>
      </c>
      <c r="K65" s="70"/>
      <c r="L65" s="70"/>
      <c r="M65" s="14"/>
      <c r="N65" s="15">
        <f>SUM(N66:N66)</f>
        <v>0</v>
      </c>
      <c r="O65" s="14"/>
      <c r="P65" s="15">
        <f>SUM(P66:P66)</f>
        <v>0</v>
      </c>
      <c r="Q65" s="14"/>
      <c r="R65" s="15">
        <f>SUM(R66:R66)</f>
        <v>0</v>
      </c>
      <c r="S65" s="14"/>
      <c r="T65" s="15">
        <f>SUM(T66:T66)</f>
        <v>0</v>
      </c>
      <c r="U65" s="14"/>
      <c r="V65" s="15">
        <f>SUM(V66:V66)</f>
        <v>0</v>
      </c>
      <c r="W65" s="14"/>
      <c r="X65" s="15">
        <f>SUM(X66:X66)</f>
        <v>0</v>
      </c>
      <c r="Y65" s="14"/>
      <c r="Z65" s="15">
        <f>SUM(Z66:Z66)</f>
        <v>0</v>
      </c>
      <c r="AA65" s="14"/>
      <c r="AB65" s="15">
        <f>SUM(AB66:AB66)</f>
        <v>0</v>
      </c>
      <c r="AC65" s="14"/>
      <c r="AD65" s="15">
        <f>SUM(AD66:AD66)</f>
        <v>0</v>
      </c>
      <c r="AE65" s="14"/>
      <c r="AF65" s="15">
        <f>SUM(AF66:AF66)</f>
        <v>0</v>
      </c>
      <c r="AG65" s="14"/>
      <c r="AH65" s="15">
        <f>SUM(AH66:AH66)</f>
        <v>0</v>
      </c>
      <c r="AI65" s="14"/>
      <c r="AJ65" s="15">
        <f>SUM(AJ66:AJ66)</f>
        <v>0</v>
      </c>
      <c r="AK65" s="14"/>
      <c r="AL65" s="15">
        <f>SUM(AL66:AL66)</f>
        <v>0</v>
      </c>
      <c r="AM65" s="14"/>
      <c r="AN65" s="15">
        <f>SUM(AN66:AN66)</f>
        <v>0</v>
      </c>
      <c r="AO65" s="14"/>
      <c r="AP65" s="15">
        <f>SUM(AP66:AP66)</f>
        <v>0</v>
      </c>
      <c r="AQ65" s="14"/>
      <c r="AR65" s="15">
        <f>SUM(AR66:AR66)</f>
        <v>0</v>
      </c>
      <c r="AS65" s="14"/>
      <c r="AT65" s="15">
        <f>SUM(AT66:AT66)</f>
        <v>0</v>
      </c>
      <c r="AU65" s="14"/>
      <c r="AV65" s="15">
        <f>SUM(AV66:AV66)</f>
        <v>0</v>
      </c>
      <c r="AX65" s="71">
        <f t="shared" si="2"/>
        <v>0</v>
      </c>
      <c r="AY65" s="15">
        <f t="shared" si="3"/>
        <v>0</v>
      </c>
    </row>
    <row r="66" spans="1:52" x14ac:dyDescent="0.25">
      <c r="A66" s="7" t="s">
        <v>72</v>
      </c>
      <c r="B66" s="8" t="s">
        <v>73</v>
      </c>
      <c r="C66" s="26"/>
      <c r="D66" s="10"/>
      <c r="E66" s="26"/>
      <c r="F66" s="10"/>
      <c r="G66" s="26"/>
      <c r="H66" s="10"/>
      <c r="I66" s="26"/>
      <c r="J66" s="10"/>
      <c r="K66" s="76"/>
      <c r="L66" s="68"/>
      <c r="M66" s="26"/>
      <c r="N66" s="10"/>
      <c r="O66" s="26"/>
      <c r="P66" s="10"/>
      <c r="Q66" s="26"/>
      <c r="R66" s="10"/>
      <c r="S66" s="26"/>
      <c r="T66" s="10"/>
      <c r="U66" s="26"/>
      <c r="V66" s="10"/>
      <c r="W66" s="26"/>
      <c r="X66" s="10"/>
      <c r="Y66" s="26"/>
      <c r="Z66" s="10"/>
      <c r="AA66" s="26"/>
      <c r="AB66" s="10"/>
      <c r="AC66" s="26"/>
      <c r="AD66" s="10"/>
      <c r="AE66" s="26"/>
      <c r="AF66" s="10"/>
      <c r="AG66" s="26"/>
      <c r="AH66" s="10"/>
      <c r="AI66" s="26"/>
      <c r="AJ66" s="10"/>
      <c r="AK66" s="26"/>
      <c r="AL66" s="10"/>
      <c r="AM66" s="26"/>
      <c r="AN66" s="10"/>
      <c r="AO66" s="26"/>
      <c r="AP66" s="10"/>
      <c r="AQ66" s="26"/>
      <c r="AR66" s="10"/>
      <c r="AS66" s="26"/>
      <c r="AT66" s="10"/>
      <c r="AU66" s="26"/>
      <c r="AV66" s="10"/>
      <c r="AW66"/>
      <c r="AX66" s="77">
        <f t="shared" si="2"/>
        <v>0</v>
      </c>
      <c r="AY66" s="10">
        <f t="shared" si="3"/>
        <v>0</v>
      </c>
    </row>
    <row r="67" spans="1:52" s="30" customFormat="1" x14ac:dyDescent="0.25">
      <c r="A67" s="138" t="s">
        <v>74</v>
      </c>
      <c r="B67" s="138"/>
      <c r="C67" s="28"/>
      <c r="D67" s="29">
        <f>D3+D33+D53+D62+D65</f>
        <v>123.38</v>
      </c>
      <c r="E67" s="28"/>
      <c r="F67" s="29">
        <f>F3+F33+F53+F62+F65</f>
        <v>131.24</v>
      </c>
      <c r="G67" s="28"/>
      <c r="H67" s="29">
        <f>H3+H33+H53+H62+H65</f>
        <v>113.9</v>
      </c>
      <c r="I67" s="28"/>
      <c r="J67" s="29">
        <f>J3+J33+J53+J62+J65</f>
        <v>105.45999999999998</v>
      </c>
      <c r="K67" s="29"/>
      <c r="L67" s="29">
        <f>L3+L33+L53+L62+L65</f>
        <v>126.9</v>
      </c>
      <c r="M67" s="28"/>
      <c r="N67" s="29">
        <f>N3+N33+N53+N62+N65</f>
        <v>0</v>
      </c>
      <c r="O67" s="28"/>
      <c r="P67" s="29">
        <f>P3+P33+P53+P62+P65</f>
        <v>0</v>
      </c>
      <c r="Q67" s="28"/>
      <c r="R67" s="29">
        <f>R3+R33+R53+R62+R65</f>
        <v>0</v>
      </c>
      <c r="S67" s="28"/>
      <c r="T67" s="29">
        <f>T3+T33+T53+T62+T65</f>
        <v>0</v>
      </c>
      <c r="U67" s="28"/>
      <c r="V67" s="29">
        <f>V3+V33+V53+V62+V65</f>
        <v>0</v>
      </c>
      <c r="W67" s="28"/>
      <c r="X67" s="29">
        <f>X3+X33+X53+X62+X65</f>
        <v>0</v>
      </c>
      <c r="Y67" s="28"/>
      <c r="Z67" s="29">
        <f>Z3+Z33+Z53+Z62+Z65</f>
        <v>0</v>
      </c>
      <c r="AA67" s="28"/>
      <c r="AB67" s="29">
        <f>AB3+AB33+AB53+AB62+AB65</f>
        <v>0</v>
      </c>
      <c r="AC67" s="28"/>
      <c r="AD67" s="29">
        <f>AD3+AD33+AD53+AD62+AD65</f>
        <v>0</v>
      </c>
      <c r="AE67" s="28"/>
      <c r="AF67" s="29">
        <f>AF3+AF33+AF53+AF62+AF65</f>
        <v>0</v>
      </c>
      <c r="AG67" s="28"/>
      <c r="AH67" s="29">
        <f>AH3+AH33+AH53+AH62+AH65</f>
        <v>0</v>
      </c>
      <c r="AI67" s="28"/>
      <c r="AJ67" s="29">
        <f>AJ3+AJ33+AJ53+AJ62+AJ65</f>
        <v>0</v>
      </c>
      <c r="AK67" s="28"/>
      <c r="AL67" s="29">
        <f>AL3+AL33+AL53+AL62+AL65</f>
        <v>0</v>
      </c>
      <c r="AM67" s="28"/>
      <c r="AN67" s="29">
        <f>AN3+AN33+AN53+AN62+AN65</f>
        <v>0</v>
      </c>
      <c r="AO67" s="28"/>
      <c r="AP67" s="29">
        <f>AP3+AP33+AP53+AP62+AP65</f>
        <v>0</v>
      </c>
      <c r="AQ67" s="28"/>
      <c r="AR67" s="29">
        <f>AR3+AR33+AR53+AR62+AR65</f>
        <v>0</v>
      </c>
      <c r="AS67" s="28"/>
      <c r="AT67" s="29">
        <f>AT3+AT33+AT53+AT62+AT65</f>
        <v>0</v>
      </c>
      <c r="AU67" s="28"/>
      <c r="AV67" s="29">
        <f>AV3+AV33+AV53+AV62+AV65</f>
        <v>0</v>
      </c>
      <c r="AW67" s="29"/>
      <c r="AX67" s="28">
        <f t="shared" si="2"/>
        <v>600.88</v>
      </c>
      <c r="AY67" s="29">
        <f t="shared" ref="AY67" si="4">AX67/1.055</f>
        <v>569.55450236966828</v>
      </c>
    </row>
    <row r="68" spans="1:52" x14ac:dyDescent="0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Y68" s="78"/>
      <c r="AZ68" s="91"/>
    </row>
    <row r="69" spans="1:52" x14ac:dyDescent="0.25">
      <c r="A69" s="139" t="s">
        <v>75</v>
      </c>
      <c r="B69" s="33" t="s">
        <v>76</v>
      </c>
      <c r="C69" s="34"/>
      <c r="D69" s="35">
        <f>155-31.54</f>
        <v>123.46000000000001</v>
      </c>
      <c r="E69" s="34"/>
      <c r="F69" s="36">
        <f>156-24.79</f>
        <v>131.21</v>
      </c>
      <c r="G69" s="34"/>
      <c r="H69" s="37">
        <f>170-56.11</f>
        <v>113.89</v>
      </c>
      <c r="I69" s="34"/>
      <c r="J69" s="37">
        <f>140-46.1</f>
        <v>93.9</v>
      </c>
      <c r="K69" s="36"/>
      <c r="L69" s="36">
        <v>126.9</v>
      </c>
      <c r="M69" s="34"/>
      <c r="N69" s="37"/>
      <c r="O69" s="34"/>
      <c r="P69" s="37"/>
      <c r="Q69" s="34"/>
      <c r="R69" s="36"/>
      <c r="S69" s="34"/>
      <c r="T69" s="37"/>
      <c r="U69" s="34"/>
      <c r="V69" s="37"/>
      <c r="W69" s="34"/>
      <c r="X69" s="37"/>
      <c r="Y69" s="34"/>
      <c r="Z69" s="37"/>
      <c r="AA69" s="34"/>
      <c r="AB69" s="37"/>
      <c r="AC69" s="34"/>
      <c r="AD69" s="37"/>
      <c r="AE69" s="34"/>
      <c r="AF69" s="37"/>
      <c r="AG69" s="34"/>
      <c r="AH69" s="37"/>
      <c r="AI69" s="34"/>
      <c r="AJ69" s="37"/>
      <c r="AK69" s="34"/>
      <c r="AL69" s="37"/>
      <c r="AM69" s="34"/>
      <c r="AN69" s="37"/>
      <c r="AO69" s="34"/>
      <c r="AP69" s="37"/>
      <c r="AQ69" s="34"/>
      <c r="AR69" s="37"/>
      <c r="AS69" s="34"/>
      <c r="AT69" s="37"/>
      <c r="AU69" s="34"/>
      <c r="AV69" s="37"/>
      <c r="AW69" s="79"/>
      <c r="AX69" s="92">
        <f>SUM(D69,F69,H69,J69,L69,N69,P69,R69,T69,V69,X69,Z69,AB69,AD69,AF69,AH69,AJ69,AL69,AN69,AP69,AR69,AT69,AV69)</f>
        <v>589.36</v>
      </c>
      <c r="AY69" s="37">
        <f>AX69/1.055</f>
        <v>558.6350710900474</v>
      </c>
    </row>
    <row r="70" spans="1:52" x14ac:dyDescent="0.25">
      <c r="A70" s="139"/>
      <c r="B70" s="38" t="s">
        <v>77</v>
      </c>
      <c r="C70" s="39"/>
      <c r="D70" s="40"/>
      <c r="E70" s="39"/>
      <c r="F70" s="41"/>
      <c r="G70" s="39"/>
      <c r="H70" s="42"/>
      <c r="I70" s="39">
        <v>1</v>
      </c>
      <c r="J70" s="42">
        <v>11.5</v>
      </c>
      <c r="K70" s="88"/>
      <c r="L70" s="41"/>
      <c r="M70" s="39"/>
      <c r="N70" s="42"/>
      <c r="O70" s="39"/>
      <c r="P70" s="42"/>
      <c r="Q70" s="43"/>
      <c r="R70" s="41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39"/>
      <c r="AD70" s="42"/>
      <c r="AE70" s="39"/>
      <c r="AF70" s="42"/>
      <c r="AG70" s="39"/>
      <c r="AH70" s="42"/>
      <c r="AI70" s="39"/>
      <c r="AJ70" s="42"/>
      <c r="AK70" s="39"/>
      <c r="AL70" s="42"/>
      <c r="AM70" s="39"/>
      <c r="AN70" s="42"/>
      <c r="AO70" s="39"/>
      <c r="AP70" s="42"/>
      <c r="AQ70" s="39"/>
      <c r="AR70" s="42"/>
      <c r="AS70" s="39"/>
      <c r="AT70" s="42"/>
      <c r="AU70" s="39"/>
      <c r="AV70" s="42"/>
      <c r="AW70" s="80">
        <f>SUM(C70,E70,G70,I70,K70,M70,O70,Q70,S70,U70,W70,Y70,AA70,AC70,AE70,AG70,AI70,AK70,AM70,AO70,AQ70,AS70,AU70)</f>
        <v>1</v>
      </c>
      <c r="AX70" s="93">
        <f>SUM(D70,F70,H70,J70,L70,N70,P70,R70,T70,V70,X70,Z70,AB70,AD70,AF70,AH70,AJ70,AL70,AN70,AP70,AR70,AT70,AV70)</f>
        <v>11.5</v>
      </c>
      <c r="AY70" s="42">
        <f>AX70/1.055</f>
        <v>10.900473933649289</v>
      </c>
    </row>
    <row r="71" spans="1:52" x14ac:dyDescent="0.25">
      <c r="A71" s="139"/>
      <c r="B71" s="38" t="s">
        <v>157</v>
      </c>
      <c r="C71" s="43"/>
      <c r="D71" s="40"/>
      <c r="E71" s="43"/>
      <c r="F71" s="41"/>
      <c r="G71" s="43"/>
      <c r="H71" s="42"/>
      <c r="I71" s="43"/>
      <c r="J71" s="42"/>
      <c r="K71" s="41"/>
      <c r="L71" s="41"/>
      <c r="M71" s="43"/>
      <c r="N71" s="42"/>
      <c r="O71" s="43"/>
      <c r="P71" s="42"/>
      <c r="Q71" s="43"/>
      <c r="R71" s="41"/>
      <c r="S71" s="43"/>
      <c r="T71" s="42"/>
      <c r="U71" s="43"/>
      <c r="V71" s="42"/>
      <c r="W71" s="43"/>
      <c r="X71" s="42"/>
      <c r="Y71" s="43"/>
      <c r="Z71" s="42"/>
      <c r="AA71" s="43"/>
      <c r="AB71" s="42"/>
      <c r="AC71" s="43"/>
      <c r="AD71" s="42"/>
      <c r="AE71" s="43"/>
      <c r="AF71" s="42"/>
      <c r="AG71" s="43"/>
      <c r="AH71" s="42"/>
      <c r="AI71" s="43"/>
      <c r="AJ71" s="42"/>
      <c r="AK71" s="43"/>
      <c r="AL71" s="42"/>
      <c r="AM71" s="43"/>
      <c r="AN71" s="42"/>
      <c r="AO71" s="43"/>
      <c r="AP71" s="42"/>
      <c r="AQ71" s="43"/>
      <c r="AR71" s="42"/>
      <c r="AS71" s="43"/>
      <c r="AT71" s="42"/>
      <c r="AU71" s="43"/>
      <c r="AV71" s="42"/>
      <c r="AW71" s="81"/>
      <c r="AX71" s="94"/>
      <c r="AY71" s="42"/>
    </row>
    <row r="72" spans="1:52" s="51" customFormat="1" x14ac:dyDescent="0.25">
      <c r="A72" s="139"/>
      <c r="B72" s="44" t="s">
        <v>78</v>
      </c>
      <c r="C72" s="45"/>
      <c r="D72" s="46">
        <f>SUM(D69:D71)</f>
        <v>123.46000000000001</v>
      </c>
      <c r="E72" s="45"/>
      <c r="F72" s="47">
        <f>SUM(F69:F71)</f>
        <v>131.21</v>
      </c>
      <c r="G72" s="45"/>
      <c r="H72" s="48">
        <f>SUM(H69:H71)</f>
        <v>113.89</v>
      </c>
      <c r="I72" s="45"/>
      <c r="J72" s="48">
        <f>SUM(J69:J71)</f>
        <v>105.4</v>
      </c>
      <c r="K72" s="47"/>
      <c r="L72" s="47">
        <f>SUM(L69:L71)</f>
        <v>126.9</v>
      </c>
      <c r="M72" s="45"/>
      <c r="N72" s="48">
        <f>SUM(N69:N71)</f>
        <v>0</v>
      </c>
      <c r="O72" s="45"/>
      <c r="P72" s="48">
        <f>SUM(P69:P71)</f>
        <v>0</v>
      </c>
      <c r="Q72" s="45"/>
      <c r="R72" s="47">
        <f>SUM(R69:R71)</f>
        <v>0</v>
      </c>
      <c r="S72" s="45"/>
      <c r="T72" s="48">
        <f>SUM(T69:T71)</f>
        <v>0</v>
      </c>
      <c r="U72" s="45"/>
      <c r="V72" s="48">
        <f>SUM(V69:V71)</f>
        <v>0</v>
      </c>
      <c r="W72" s="45"/>
      <c r="X72" s="48">
        <f>SUM(X69:X71)</f>
        <v>0</v>
      </c>
      <c r="Y72" s="45"/>
      <c r="Z72" s="48">
        <f>SUM(Z69:Z71)</f>
        <v>0</v>
      </c>
      <c r="AA72" s="45"/>
      <c r="AB72" s="48">
        <f>SUM(AB69:AB71)</f>
        <v>0</v>
      </c>
      <c r="AC72" s="45"/>
      <c r="AD72" s="48">
        <f>SUM(AD69:AD71)</f>
        <v>0</v>
      </c>
      <c r="AE72" s="45"/>
      <c r="AF72" s="48">
        <f>SUM(AF69:AF71)</f>
        <v>0</v>
      </c>
      <c r="AG72" s="45"/>
      <c r="AH72" s="48">
        <f>SUM(AH69:AH71)</f>
        <v>0</v>
      </c>
      <c r="AI72" s="45"/>
      <c r="AJ72" s="48">
        <f>SUM(AJ69:AJ71)</f>
        <v>0</v>
      </c>
      <c r="AK72" s="45"/>
      <c r="AL72" s="48">
        <f>SUM(AL69:AL71)</f>
        <v>0</v>
      </c>
      <c r="AM72" s="45"/>
      <c r="AN72" s="48">
        <f>SUM(AN69:AN71)</f>
        <v>0</v>
      </c>
      <c r="AO72" s="45"/>
      <c r="AP72" s="48">
        <f>SUM(AP69:AP71)</f>
        <v>0</v>
      </c>
      <c r="AQ72" s="45"/>
      <c r="AR72" s="48">
        <f>SUM(AR69:AR71)</f>
        <v>0</v>
      </c>
      <c r="AS72" s="45"/>
      <c r="AT72" s="48">
        <f>SUM(AT69:AT71)</f>
        <v>0</v>
      </c>
      <c r="AU72" s="45"/>
      <c r="AV72" s="48">
        <f>SUM(AV69:AV71)</f>
        <v>0</v>
      </c>
      <c r="AW72" s="82"/>
      <c r="AX72" s="95">
        <f>SUM(AX69:AX71)</f>
        <v>600.86</v>
      </c>
      <c r="AY72" s="48">
        <f>SUM(AY69:AY71)</f>
        <v>569.53554502369673</v>
      </c>
    </row>
    <row r="73" spans="1:52" ht="15" customHeight="1" x14ac:dyDescent="0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83"/>
      <c r="N73" s="83"/>
      <c r="O73" s="147"/>
      <c r="P73" s="147"/>
      <c r="Q73" s="83"/>
      <c r="R73" s="83"/>
      <c r="S73" s="83"/>
      <c r="T73" s="83"/>
      <c r="U73" s="83"/>
      <c r="V73" s="83"/>
      <c r="W73" s="32"/>
      <c r="X73" s="32"/>
      <c r="Y73" s="32"/>
      <c r="Z73" s="32"/>
      <c r="AA73" s="32"/>
      <c r="AB73" s="32"/>
      <c r="AC73" s="32"/>
      <c r="AD73" s="32"/>
      <c r="AE73" s="66"/>
      <c r="AF73" s="66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</sheetData>
  <mergeCells count="28">
    <mergeCell ref="A67:B67"/>
    <mergeCell ref="A69:A72"/>
    <mergeCell ref="O73:P73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FFFFFF"/>
  </sheetPr>
  <dimension ref="A1:BA74"/>
  <sheetViews>
    <sheetView windowProtection="1" zoomScaleNormal="100" workbookViewId="0">
      <pane xSplit="2" ySplit="2" topLeftCell="D3" activePane="bottomRight" state="frozen"/>
      <selection pane="topRight" activeCell="C1" sqref="C1"/>
      <selection pane="bottomLeft" activeCell="A44" sqref="A44"/>
      <selection pane="bottomRight" activeCell="D70" sqref="D70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.85546875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710937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221</v>
      </c>
      <c r="D1" s="136"/>
      <c r="E1" s="136" t="s">
        <v>222</v>
      </c>
      <c r="F1" s="136"/>
      <c r="G1" s="136" t="s">
        <v>223</v>
      </c>
      <c r="H1" s="136"/>
      <c r="I1" s="136" t="s">
        <v>224</v>
      </c>
      <c r="J1" s="136"/>
      <c r="K1" s="145" t="s">
        <v>225</v>
      </c>
      <c r="L1" s="145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SUM(D4:D33)</f>
        <v>13</v>
      </c>
      <c r="E3" s="14"/>
      <c r="F3" s="15">
        <f>SUM(F4:F33)</f>
        <v>128.04999999999998</v>
      </c>
      <c r="G3" s="14"/>
      <c r="H3" s="15">
        <f>SUM(H4:H33)</f>
        <v>323.47000000000003</v>
      </c>
      <c r="I3" s="14"/>
      <c r="J3" s="15">
        <f>SUM(J4:J33)</f>
        <v>189.4</v>
      </c>
      <c r="K3" s="70"/>
      <c r="L3" s="70">
        <f>SUM(L4:L33)</f>
        <v>387.78</v>
      </c>
      <c r="M3" s="14"/>
      <c r="N3" s="15">
        <f>SUM(N4:N33)</f>
        <v>0</v>
      </c>
      <c r="O3" s="14"/>
      <c r="P3" s="15">
        <f>SUM(P4:P33)</f>
        <v>0</v>
      </c>
      <c r="Q3" s="14"/>
      <c r="R3" s="15">
        <f>SUM(R4:R33)</f>
        <v>0</v>
      </c>
      <c r="S3" s="14"/>
      <c r="T3" s="15">
        <f>SUM(T4:T33)</f>
        <v>0</v>
      </c>
      <c r="U3" s="14"/>
      <c r="V3" s="15">
        <f>SUM(V4:V33)</f>
        <v>0</v>
      </c>
      <c r="W3" s="14"/>
      <c r="X3" s="15">
        <f>SUM(X4:X33)</f>
        <v>0</v>
      </c>
      <c r="Y3" s="14"/>
      <c r="Z3" s="15">
        <f>SUM(Z4:Z33)</f>
        <v>0</v>
      </c>
      <c r="AA3" s="14"/>
      <c r="AB3" s="15">
        <f>SUM(AB4:AB33)</f>
        <v>0</v>
      </c>
      <c r="AC3" s="14"/>
      <c r="AD3" s="15">
        <f>SUM(AD4:AD33)</f>
        <v>0</v>
      </c>
      <c r="AE3" s="14"/>
      <c r="AF3" s="15">
        <f>SUM(AF4:AF33)</f>
        <v>0</v>
      </c>
      <c r="AG3" s="14"/>
      <c r="AH3" s="15">
        <f>SUM(AH4:AH33)</f>
        <v>0</v>
      </c>
      <c r="AI3" s="14"/>
      <c r="AJ3" s="15">
        <f>SUM(AJ4:AJ33)</f>
        <v>0</v>
      </c>
      <c r="AK3" s="14"/>
      <c r="AL3" s="15">
        <f>SUM(AL4:AL33)</f>
        <v>0</v>
      </c>
      <c r="AM3" s="14"/>
      <c r="AN3" s="15">
        <f>SUM(AN4:AN33)</f>
        <v>0</v>
      </c>
      <c r="AO3" s="14"/>
      <c r="AP3" s="15">
        <f>SUM(AP4:AP33)</f>
        <v>0</v>
      </c>
      <c r="AQ3" s="14"/>
      <c r="AR3" s="15">
        <f>SUM(AR4:AR33)</f>
        <v>0</v>
      </c>
      <c r="AS3" s="14"/>
      <c r="AT3" s="15">
        <f>SUM(AT4:AT33)</f>
        <v>0</v>
      </c>
      <c r="AU3" s="14"/>
      <c r="AV3" s="15">
        <f>SUM(AV4:AV33)</f>
        <v>0</v>
      </c>
      <c r="AX3" s="84">
        <f t="shared" ref="AX3:AX34" si="0">SUM(AV3,AT3,AR3,AP3,AN3,AL3,AJ3,AH3,AF3,AD3,AB3,Z3,X3,V3,T3,R3,P3,N3,L3,J3,H3,F3,D3)</f>
        <v>1041.7</v>
      </c>
      <c r="AY3" s="15">
        <f t="shared" ref="AY3:AY34" si="1">AX3/1.055</f>
        <v>987.39336492891005</v>
      </c>
    </row>
    <row r="4" spans="1:51" x14ac:dyDescent="0.25">
      <c r="A4" s="19" t="s">
        <v>25</v>
      </c>
      <c r="B4" s="20" t="s">
        <v>26</v>
      </c>
      <c r="C4" s="21"/>
      <c r="D4"/>
      <c r="E4" s="21">
        <v>14</v>
      </c>
      <c r="F4" s="22">
        <v>54.4</v>
      </c>
      <c r="G4" s="21">
        <v>46</v>
      </c>
      <c r="H4" s="22">
        <v>179.4</v>
      </c>
      <c r="I4" s="21"/>
      <c r="J4" s="22">
        <v>57.4</v>
      </c>
      <c r="K4" s="72"/>
      <c r="L4" s="73">
        <v>183</v>
      </c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474.2</v>
      </c>
      <c r="AY4" s="22">
        <f t="shared" si="1"/>
        <v>449.478672985782</v>
      </c>
    </row>
    <row r="5" spans="1:51" x14ac:dyDescent="0.25">
      <c r="A5" s="19" t="s">
        <v>27</v>
      </c>
      <c r="B5" s="20" t="s">
        <v>26</v>
      </c>
      <c r="C5" s="21"/>
      <c r="D5" s="22"/>
      <c r="E5" s="21"/>
      <c r="F5" s="22"/>
      <c r="G5" s="21"/>
      <c r="H5" s="22"/>
      <c r="I5" s="21"/>
      <c r="J5" s="22">
        <v>125.4</v>
      </c>
      <c r="K5" s="72"/>
      <c r="L5" s="73">
        <v>70</v>
      </c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195.4</v>
      </c>
      <c r="AY5" s="22">
        <f t="shared" si="1"/>
        <v>185.21327014218011</v>
      </c>
    </row>
    <row r="6" spans="1:51" x14ac:dyDescent="0.25">
      <c r="A6" s="19" t="s">
        <v>226</v>
      </c>
      <c r="B6" s="20" t="s">
        <v>26</v>
      </c>
      <c r="C6" s="21"/>
      <c r="D6" s="22"/>
      <c r="E6" s="21"/>
      <c r="F6" s="22"/>
      <c r="G6" s="21">
        <v>39</v>
      </c>
      <c r="H6" s="22">
        <v>132.6</v>
      </c>
      <c r="I6" s="21"/>
      <c r="J6" s="22"/>
      <c r="K6" s="72"/>
      <c r="L6" s="73">
        <v>128</v>
      </c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72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260.60000000000002</v>
      </c>
      <c r="AY6" s="22">
        <f t="shared" si="1"/>
        <v>247.0142180094787</v>
      </c>
    </row>
    <row r="7" spans="1:51" x14ac:dyDescent="0.25">
      <c r="A7" s="19" t="s">
        <v>28</v>
      </c>
      <c r="B7" s="20" t="s">
        <v>26</v>
      </c>
      <c r="C7" s="21"/>
      <c r="D7" s="22"/>
      <c r="E7" s="21">
        <v>16</v>
      </c>
      <c r="F7" s="22">
        <f>18+39.6</f>
        <v>57.6</v>
      </c>
      <c r="G7" s="21"/>
      <c r="H7" s="22"/>
      <c r="I7" s="21"/>
      <c r="J7" s="22"/>
      <c r="K7" s="72"/>
      <c r="L7" s="73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4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57.6</v>
      </c>
      <c r="AY7" s="22">
        <f t="shared" si="1"/>
        <v>54.597156398104268</v>
      </c>
    </row>
    <row r="8" spans="1:51" x14ac:dyDescent="0.25">
      <c r="A8" s="19" t="s">
        <v>29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102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104</v>
      </c>
      <c r="B10" s="20" t="s">
        <v>26</v>
      </c>
      <c r="C10" s="21"/>
      <c r="D10" s="22"/>
      <c r="E10" s="21"/>
      <c r="F10" s="22"/>
      <c r="G10" s="21"/>
      <c r="H10" s="22"/>
      <c r="I10" s="21"/>
      <c r="J10" s="22"/>
      <c r="K10" s="85"/>
      <c r="L10" s="73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0</v>
      </c>
      <c r="AY10" s="22">
        <f t="shared" si="1"/>
        <v>0</v>
      </c>
    </row>
    <row r="11" spans="1:51" x14ac:dyDescent="0.25">
      <c r="A11" s="19" t="s">
        <v>31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72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0</v>
      </c>
      <c r="AY11" s="22">
        <f t="shared" si="1"/>
        <v>0</v>
      </c>
    </row>
    <row r="12" spans="1:51" x14ac:dyDescent="0.25">
      <c r="A12" s="19" t="s">
        <v>103</v>
      </c>
      <c r="B12" s="20" t="s">
        <v>26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1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0</v>
      </c>
      <c r="AY12" s="22">
        <f t="shared" si="1"/>
        <v>0</v>
      </c>
    </row>
    <row r="13" spans="1:51" x14ac:dyDescent="0.25">
      <c r="A13" s="19" t="s">
        <v>32</v>
      </c>
      <c r="B13" s="20" t="s">
        <v>106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1"/>
      <c r="R13" s="22"/>
      <c r="S13" s="21"/>
      <c r="T13" s="22"/>
      <c r="U13" s="21"/>
      <c r="V13" s="22"/>
      <c r="W13" s="21"/>
      <c r="X13" s="22"/>
      <c r="Y13" s="21"/>
      <c r="Z13" s="22"/>
      <c r="AA13" s="21"/>
      <c r="AB13" s="22"/>
      <c r="AC13" s="21"/>
      <c r="AD13" s="22"/>
      <c r="AE13" s="21"/>
      <c r="AF13" s="22"/>
      <c r="AG13" s="21"/>
      <c r="AH13" s="22"/>
      <c r="AI13" s="21"/>
      <c r="AJ13" s="22"/>
      <c r="AK13" s="21"/>
      <c r="AL13" s="22"/>
      <c r="AM13" s="21"/>
      <c r="AN13" s="22"/>
      <c r="AO13" s="21"/>
      <c r="AP13" s="22"/>
      <c r="AQ13" s="21"/>
      <c r="AR13" s="22"/>
      <c r="AS13" s="21"/>
      <c r="AT13" s="22"/>
      <c r="AU13" s="21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107</v>
      </c>
      <c r="B14" s="20" t="s">
        <v>34</v>
      </c>
      <c r="C14" s="21"/>
      <c r="D14" s="22"/>
      <c r="E14" s="21"/>
      <c r="F14" s="22"/>
      <c r="G14" s="21"/>
      <c r="H14" s="22"/>
      <c r="I14" s="21"/>
      <c r="J14" s="22"/>
      <c r="K14" s="85"/>
      <c r="L14" s="73"/>
      <c r="M14" s="21"/>
      <c r="N14" s="22"/>
      <c r="O14" s="25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108</v>
      </c>
      <c r="B15" s="20" t="s">
        <v>109</v>
      </c>
      <c r="C15" s="21"/>
      <c r="D15" s="22"/>
      <c r="E15" s="21"/>
      <c r="F15" s="22"/>
      <c r="G15" s="21"/>
      <c r="H15" s="22"/>
      <c r="I15" s="25"/>
      <c r="J15" s="22"/>
      <c r="K15" s="85"/>
      <c r="L15" s="73"/>
      <c r="M15" s="21"/>
      <c r="N15" s="22"/>
      <c r="O15" s="21"/>
      <c r="P15" s="22"/>
      <c r="Q15" s="25"/>
      <c r="R15" s="22"/>
      <c r="S15" s="21"/>
      <c r="T15" s="22"/>
      <c r="U15" s="25"/>
      <c r="V15" s="22"/>
      <c r="W15" s="21"/>
      <c r="X15" s="22"/>
      <c r="Y15" s="21"/>
      <c r="Z15" s="22"/>
      <c r="AA15" s="25"/>
      <c r="AB15" s="22"/>
      <c r="AC15" s="21"/>
      <c r="AD15" s="22"/>
      <c r="AE15" s="21"/>
      <c r="AF15" s="22"/>
      <c r="AG15" s="25"/>
      <c r="AH15" s="22"/>
      <c r="AI15" s="21"/>
      <c r="AJ15" s="22"/>
      <c r="AK15" s="25"/>
      <c r="AL15" s="22"/>
      <c r="AM15" s="21"/>
      <c r="AN15" s="22"/>
      <c r="AO15" s="25"/>
      <c r="AP15" s="22"/>
      <c r="AQ15" s="21"/>
      <c r="AR15" s="22"/>
      <c r="AS15" s="21"/>
      <c r="AT15" s="22"/>
      <c r="AU15" s="25"/>
      <c r="AV15" s="22"/>
      <c r="AW15"/>
      <c r="AX15" s="74">
        <f t="shared" si="0"/>
        <v>0</v>
      </c>
      <c r="AY15" s="22">
        <f t="shared" si="1"/>
        <v>0</v>
      </c>
    </row>
    <row r="16" spans="1:51" x14ac:dyDescent="0.25">
      <c r="A16" s="19" t="s">
        <v>33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1" x14ac:dyDescent="0.25">
      <c r="A17" s="19" t="s">
        <v>35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36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0</v>
      </c>
      <c r="AY18" s="22">
        <f t="shared" si="1"/>
        <v>0</v>
      </c>
    </row>
    <row r="19" spans="1:51" x14ac:dyDescent="0.25">
      <c r="A19" s="19" t="s">
        <v>37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0</v>
      </c>
      <c r="AY19" s="22">
        <f t="shared" si="1"/>
        <v>0</v>
      </c>
    </row>
    <row r="20" spans="1:51" x14ac:dyDescent="0.25">
      <c r="A20" s="19" t="s">
        <v>38</v>
      </c>
      <c r="B20" s="20" t="s">
        <v>34</v>
      </c>
      <c r="C20" s="25"/>
      <c r="D20" s="22"/>
      <c r="E20" s="25"/>
      <c r="F20" s="22"/>
      <c r="G20" s="25"/>
      <c r="H20" s="22"/>
      <c r="I20" s="25"/>
      <c r="J20" s="22"/>
      <c r="K20" s="85"/>
      <c r="L20" s="73"/>
      <c r="M20" s="25"/>
      <c r="N20" s="22"/>
      <c r="O20" s="25"/>
      <c r="P20" s="22"/>
      <c r="Q20" s="25"/>
      <c r="R20" s="22"/>
      <c r="S20" s="25"/>
      <c r="T20" s="22"/>
      <c r="U20" s="25"/>
      <c r="V20" s="22"/>
      <c r="W20" s="25"/>
      <c r="X20" s="22"/>
      <c r="Y20" s="25"/>
      <c r="Z20" s="22"/>
      <c r="AA20" s="25"/>
      <c r="AB20" s="22"/>
      <c r="AC20" s="25"/>
      <c r="AD20" s="22"/>
      <c r="AE20" s="25"/>
      <c r="AF20" s="22"/>
      <c r="AG20" s="25"/>
      <c r="AH20" s="22"/>
      <c r="AI20" s="25"/>
      <c r="AJ20" s="22"/>
      <c r="AK20" s="25"/>
      <c r="AL20" s="22"/>
      <c r="AM20" s="25"/>
      <c r="AN20" s="22"/>
      <c r="AO20" s="25"/>
      <c r="AP20" s="22"/>
      <c r="AQ20" s="25"/>
      <c r="AR20" s="22"/>
      <c r="AS20" s="25"/>
      <c r="AT20" s="22"/>
      <c r="AU20" s="25"/>
      <c r="AV20" s="22"/>
      <c r="AW20"/>
      <c r="AX20" s="74">
        <f t="shared" si="0"/>
        <v>0</v>
      </c>
      <c r="AY20" s="22">
        <f t="shared" si="1"/>
        <v>0</v>
      </c>
    </row>
    <row r="21" spans="1:51" x14ac:dyDescent="0.25">
      <c r="A21" s="19" t="s">
        <v>39</v>
      </c>
      <c r="B21" s="20" t="s">
        <v>34</v>
      </c>
      <c r="C21"/>
      <c r="D21" s="22"/>
      <c r="E21"/>
      <c r="F21" s="22"/>
      <c r="G21"/>
      <c r="H21" s="22"/>
      <c r="I21"/>
      <c r="J21" s="22"/>
      <c r="K21" s="85"/>
      <c r="L21" s="22"/>
      <c r="M21"/>
      <c r="N21" s="22"/>
      <c r="O21"/>
      <c r="P21" s="22"/>
      <c r="Q21"/>
      <c r="R21" s="22"/>
      <c r="S21"/>
      <c r="T21" s="22"/>
      <c r="U21"/>
      <c r="V21" s="22"/>
      <c r="W21"/>
      <c r="X21" s="22"/>
      <c r="Y21"/>
      <c r="Z21" s="22"/>
      <c r="AA21"/>
      <c r="AB21" s="22"/>
      <c r="AC21"/>
      <c r="AD21" s="22"/>
      <c r="AE21"/>
      <c r="AF21" s="22"/>
      <c r="AG21"/>
      <c r="AH21" s="22"/>
      <c r="AI21"/>
      <c r="AJ21" s="22"/>
      <c r="AK21"/>
      <c r="AL21" s="22"/>
      <c r="AM21"/>
      <c r="AN21" s="22"/>
      <c r="AO21"/>
      <c r="AP21" s="22"/>
      <c r="AQ21"/>
      <c r="AR21" s="22"/>
      <c r="AS21"/>
      <c r="AT21" s="22"/>
      <c r="AU21"/>
      <c r="AV21" s="22"/>
      <c r="AW21"/>
      <c r="AX21" s="74">
        <f t="shared" si="0"/>
        <v>0</v>
      </c>
      <c r="AY21" s="22">
        <f t="shared" si="1"/>
        <v>0</v>
      </c>
    </row>
    <row r="22" spans="1:51" x14ac:dyDescent="0.25">
      <c r="A22" s="19" t="s">
        <v>40</v>
      </c>
      <c r="B22" s="20" t="s">
        <v>34</v>
      </c>
      <c r="C22" s="25"/>
      <c r="D22" s="22"/>
      <c r="E22" s="25"/>
      <c r="F22" s="22"/>
      <c r="G22" s="25"/>
      <c r="H22" s="22"/>
      <c r="I22" s="25"/>
      <c r="J22" s="22"/>
      <c r="K22" s="85"/>
      <c r="L22" s="73"/>
      <c r="M22" s="25"/>
      <c r="N22" s="22"/>
      <c r="O22" s="25"/>
      <c r="P22" s="22"/>
      <c r="Q22" s="25"/>
      <c r="R22" s="22"/>
      <c r="S22" s="25"/>
      <c r="T22" s="22"/>
      <c r="U22" s="25"/>
      <c r="V22" s="22"/>
      <c r="W22" s="25"/>
      <c r="X22" s="22"/>
      <c r="Y22" s="25"/>
      <c r="Z22" s="22"/>
      <c r="AA22" s="25"/>
      <c r="AB22" s="22"/>
      <c r="AC22" s="25"/>
      <c r="AD22" s="22"/>
      <c r="AE22" s="25"/>
      <c r="AF22" s="22"/>
      <c r="AG22" s="25"/>
      <c r="AH22" s="22"/>
      <c r="AI22" s="25"/>
      <c r="AJ22" s="22"/>
      <c r="AK22" s="25"/>
      <c r="AL22" s="22"/>
      <c r="AM22" s="25"/>
      <c r="AN22" s="22"/>
      <c r="AO22" s="25"/>
      <c r="AP22" s="22"/>
      <c r="AQ22" s="25"/>
      <c r="AR22" s="22"/>
      <c r="AS22" s="25"/>
      <c r="AT22" s="22"/>
      <c r="AU22" s="25"/>
      <c r="AV22" s="22"/>
      <c r="AW22"/>
      <c r="AX22" s="74">
        <f t="shared" si="0"/>
        <v>0</v>
      </c>
      <c r="AY22" s="22">
        <f t="shared" si="1"/>
        <v>0</v>
      </c>
    </row>
    <row r="23" spans="1:51" x14ac:dyDescent="0.25">
      <c r="A23" s="19" t="s">
        <v>30</v>
      </c>
      <c r="B23" s="20" t="s">
        <v>26</v>
      </c>
      <c r="C23" s="21"/>
      <c r="D23" s="22"/>
      <c r="E23" s="21"/>
      <c r="F23" s="22"/>
      <c r="G23" s="21"/>
      <c r="H23" s="22"/>
      <c r="I23" s="21"/>
      <c r="J23" s="22"/>
      <c r="K23" s="72"/>
      <c r="L23" s="73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0</v>
      </c>
      <c r="AY23" s="22">
        <f t="shared" si="1"/>
        <v>0</v>
      </c>
    </row>
    <row r="24" spans="1:51" x14ac:dyDescent="0.25">
      <c r="A24" s="19" t="s">
        <v>105</v>
      </c>
      <c r="B24" s="20" t="s">
        <v>26</v>
      </c>
      <c r="C24" s="21"/>
      <c r="D24" s="22"/>
      <c r="E24" s="21"/>
      <c r="F24" s="22"/>
      <c r="G24" s="21"/>
      <c r="H24" s="22"/>
      <c r="I24" s="21"/>
      <c r="J24" s="22"/>
      <c r="K24" s="85"/>
      <c r="L24" s="73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2"/>
      <c r="AO24" s="21"/>
      <c r="AP24" s="22"/>
      <c r="AQ24" s="21"/>
      <c r="AR24" s="22"/>
      <c r="AS24" s="21"/>
      <c r="AT24" s="22"/>
      <c r="AU24" s="21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41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0</v>
      </c>
      <c r="AY25" s="22">
        <f t="shared" si="1"/>
        <v>0</v>
      </c>
    </row>
    <row r="26" spans="1:51" x14ac:dyDescent="0.25">
      <c r="A26" s="19" t="s">
        <v>42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85"/>
      <c r="L26" s="73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0</v>
      </c>
      <c r="AY26" s="22">
        <f t="shared" si="1"/>
        <v>0</v>
      </c>
    </row>
    <row r="27" spans="1:51" x14ac:dyDescent="0.25">
      <c r="A27" s="19" t="s">
        <v>43</v>
      </c>
      <c r="B27" s="20" t="s">
        <v>34</v>
      </c>
      <c r="C27" s="25"/>
      <c r="D27" s="22">
        <v>13</v>
      </c>
      <c r="E27" s="25"/>
      <c r="F27" s="22">
        <v>7.85</v>
      </c>
      <c r="G27" s="25"/>
      <c r="H27" s="22">
        <v>11.47</v>
      </c>
      <c r="I27" s="25"/>
      <c r="J27" s="22">
        <v>1.6</v>
      </c>
      <c r="K27" s="85"/>
      <c r="L27" s="73">
        <v>6.78</v>
      </c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40.700000000000003</v>
      </c>
      <c r="AY27" s="22">
        <f t="shared" si="1"/>
        <v>38.578199052132703</v>
      </c>
    </row>
    <row r="28" spans="1:51" x14ac:dyDescent="0.25">
      <c r="A28" s="19" t="s">
        <v>44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179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180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85"/>
      <c r="L30" s="73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0</v>
      </c>
      <c r="AY30" s="22">
        <f t="shared" si="1"/>
        <v>0</v>
      </c>
    </row>
    <row r="31" spans="1:51" x14ac:dyDescent="0.25">
      <c r="A31" s="19" t="s">
        <v>191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1" x14ac:dyDescent="0.25">
      <c r="A32" s="19" t="s">
        <v>201</v>
      </c>
      <c r="B32" s="20" t="s">
        <v>26</v>
      </c>
      <c r="C32" s="25"/>
      <c r="D32" s="22"/>
      <c r="E32" s="25"/>
      <c r="F32" s="22"/>
      <c r="G32" s="21"/>
      <c r="H32" s="22"/>
      <c r="I32" s="25"/>
      <c r="J32" s="22"/>
      <c r="K32" s="85"/>
      <c r="L32" s="73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0</v>
      </c>
      <c r="AY32" s="22">
        <f t="shared" si="1"/>
        <v>0</v>
      </c>
    </row>
    <row r="33" spans="1:51" x14ac:dyDescent="0.25">
      <c r="A33" s="19" t="s">
        <v>202</v>
      </c>
      <c r="B33" s="20" t="s">
        <v>34</v>
      </c>
      <c r="C33" s="25"/>
      <c r="D33" s="22"/>
      <c r="E33" s="25"/>
      <c r="F33" s="22">
        <f>4+4.2</f>
        <v>8.1999999999999993</v>
      </c>
      <c r="G33" s="25"/>
      <c r="H33" s="22"/>
      <c r="I33" s="25"/>
      <c r="J33" s="22">
        <f>5</f>
        <v>5</v>
      </c>
      <c r="K33" s="85"/>
      <c r="L33" s="73"/>
      <c r="M33" s="25"/>
      <c r="N33" s="22"/>
      <c r="O33" s="25"/>
      <c r="P33" s="22"/>
      <c r="Q33" s="25"/>
      <c r="R33" s="22"/>
      <c r="S33" s="25"/>
      <c r="T33" s="22"/>
      <c r="U33" s="25"/>
      <c r="V33" s="22"/>
      <c r="W33" s="25"/>
      <c r="X33" s="22"/>
      <c r="Y33" s="25"/>
      <c r="Z33" s="22"/>
      <c r="AA33" s="25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U33" s="25"/>
      <c r="AV33" s="22"/>
      <c r="AW33"/>
      <c r="AX33" s="74">
        <f t="shared" si="0"/>
        <v>13.2</v>
      </c>
      <c r="AY33" s="22">
        <f t="shared" si="1"/>
        <v>12.511848341232227</v>
      </c>
    </row>
    <row r="34" spans="1:51" s="18" customFormat="1" x14ac:dyDescent="0.25">
      <c r="A34" s="12" t="s">
        <v>46</v>
      </c>
      <c r="B34" s="13"/>
      <c r="C34" s="14"/>
      <c r="D34" s="15">
        <f>SUM(D35:D53)</f>
        <v>84.5</v>
      </c>
      <c r="E34" s="14"/>
      <c r="F34" s="15">
        <f>SUM(F35:F53)</f>
        <v>34.299999999999997</v>
      </c>
      <c r="G34" s="14"/>
      <c r="H34" s="15">
        <f>SUM(H35:H53)</f>
        <v>39.409999999999997</v>
      </c>
      <c r="I34" s="14"/>
      <c r="J34" s="15">
        <f>SUM(J35:J53)</f>
        <v>50.510000000000005</v>
      </c>
      <c r="K34" s="70"/>
      <c r="L34" s="70">
        <f>SUM(L35:L53)</f>
        <v>39.379999999999995</v>
      </c>
      <c r="M34" s="14"/>
      <c r="N34" s="15">
        <f>SUM(N35:N53)</f>
        <v>0</v>
      </c>
      <c r="O34" s="14"/>
      <c r="P34" s="15">
        <f>SUM(P35:P53)</f>
        <v>0</v>
      </c>
      <c r="Q34" s="14"/>
      <c r="R34" s="15">
        <f>SUM(R35:R53)</f>
        <v>0</v>
      </c>
      <c r="S34" s="14"/>
      <c r="T34" s="15">
        <f>SUM(T35:T53)</f>
        <v>0</v>
      </c>
      <c r="U34" s="14"/>
      <c r="V34" s="15">
        <f>SUM(V35:V53)</f>
        <v>0</v>
      </c>
      <c r="W34" s="14"/>
      <c r="X34" s="15">
        <f>SUM(X35:X53)</f>
        <v>0</v>
      </c>
      <c r="Y34" s="14"/>
      <c r="Z34" s="15">
        <f>SUM(Z35:Z53)</f>
        <v>0</v>
      </c>
      <c r="AA34" s="14"/>
      <c r="AB34" s="15">
        <f>SUM(AB35:AB53)</f>
        <v>0</v>
      </c>
      <c r="AC34" s="14"/>
      <c r="AD34" s="15">
        <f>SUM(AD35:AD53)</f>
        <v>0</v>
      </c>
      <c r="AE34" s="14"/>
      <c r="AF34" s="15">
        <f>SUM(AF35:AF53)</f>
        <v>0</v>
      </c>
      <c r="AG34" s="14"/>
      <c r="AH34" s="15">
        <f>SUM(AH35:AH53)</f>
        <v>0</v>
      </c>
      <c r="AI34" s="14"/>
      <c r="AJ34" s="15">
        <f>SUM(AJ35:AJ53)</f>
        <v>0</v>
      </c>
      <c r="AK34" s="14"/>
      <c r="AL34" s="15">
        <f>SUM(AL35:AL53)</f>
        <v>0</v>
      </c>
      <c r="AM34" s="14"/>
      <c r="AN34" s="15">
        <f>SUM(AN35:AN53)</f>
        <v>0</v>
      </c>
      <c r="AO34" s="14"/>
      <c r="AP34" s="15">
        <f>SUM(AP35:AP53)</f>
        <v>0</v>
      </c>
      <c r="AQ34" s="14"/>
      <c r="AR34" s="15">
        <f>SUM(AR35:AR53)</f>
        <v>0</v>
      </c>
      <c r="AS34" s="14"/>
      <c r="AT34" s="15">
        <f>SUM(AT35:AT53)</f>
        <v>0</v>
      </c>
      <c r="AU34" s="14"/>
      <c r="AV34" s="15">
        <f>SUM(AV35:AV53)</f>
        <v>0</v>
      </c>
      <c r="AX34" s="71">
        <f t="shared" si="0"/>
        <v>248.10000000000002</v>
      </c>
      <c r="AY34" s="15">
        <f t="shared" si="1"/>
        <v>235.16587677725121</v>
      </c>
    </row>
    <row r="35" spans="1:51" x14ac:dyDescent="0.25">
      <c r="A35" s="19" t="s">
        <v>47</v>
      </c>
      <c r="B35" s="20" t="s">
        <v>34</v>
      </c>
      <c r="C35" s="25"/>
      <c r="D35" s="22">
        <v>12</v>
      </c>
      <c r="E35" s="25"/>
      <c r="F35" s="22"/>
      <c r="G35" s="25"/>
      <c r="H35" s="22"/>
      <c r="I35" s="25"/>
      <c r="J35" s="22"/>
      <c r="K35" s="25"/>
      <c r="L35" s="73"/>
      <c r="M35" s="25"/>
      <c r="N35" s="22"/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ref="AX35:AX68" si="2">SUM(AV35,AT35,AR35,AP35,AN35,AL35,AJ35,AH35,AF35,AD35,AB35,Z35,X35,V35,T35,R35,P35,N35,L35,J35,H35,F35,D35)</f>
        <v>12</v>
      </c>
      <c r="AY35" s="22">
        <f t="shared" ref="AY35:AY66" si="3">AX35/1.055</f>
        <v>11.374407582938389</v>
      </c>
    </row>
    <row r="36" spans="1:51" x14ac:dyDescent="0.25">
      <c r="A36" s="19" t="s">
        <v>48</v>
      </c>
      <c r="B36" s="20" t="s">
        <v>34</v>
      </c>
      <c r="C36" s="25"/>
      <c r="D36" s="22">
        <v>40</v>
      </c>
      <c r="E36" s="25"/>
      <c r="F36" s="22">
        <f>7.1+13</f>
        <v>20.100000000000001</v>
      </c>
      <c r="G36" s="25"/>
      <c r="H36" s="22">
        <v>11.54</v>
      </c>
      <c r="I36" s="25"/>
      <c r="J36" s="22">
        <f>11.77+6</f>
        <v>17.77</v>
      </c>
      <c r="K36" s="25"/>
      <c r="L36" s="73">
        <f>15.76+4</f>
        <v>19.759999999999998</v>
      </c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109.17</v>
      </c>
      <c r="AY36" s="22">
        <f t="shared" si="3"/>
        <v>103.478672985782</v>
      </c>
    </row>
    <row r="37" spans="1:51" x14ac:dyDescent="0.25">
      <c r="A37" s="19" t="s">
        <v>49</v>
      </c>
      <c r="B37" s="20" t="s">
        <v>34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1" x14ac:dyDescent="0.25">
      <c r="A38" s="19" t="s">
        <v>50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1" x14ac:dyDescent="0.25">
      <c r="A39" s="19" t="s">
        <v>51</v>
      </c>
      <c r="B39" s="20" t="s">
        <v>34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0</v>
      </c>
      <c r="AY39" s="22">
        <f t="shared" si="3"/>
        <v>0</v>
      </c>
    </row>
    <row r="40" spans="1:51" x14ac:dyDescent="0.25">
      <c r="A40" s="19" t="s">
        <v>208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0</v>
      </c>
      <c r="AY40" s="22">
        <f t="shared" si="3"/>
        <v>0</v>
      </c>
    </row>
    <row r="41" spans="1:51" x14ac:dyDescent="0.25">
      <c r="A41" s="19" t="s">
        <v>133</v>
      </c>
      <c r="B41" s="20" t="s">
        <v>53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1" x14ac:dyDescent="0.25">
      <c r="A42" s="19" t="s">
        <v>54</v>
      </c>
      <c r="B42" s="20" t="s">
        <v>55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1" x14ac:dyDescent="0.25">
      <c r="A43" s="19" t="s">
        <v>56</v>
      </c>
      <c r="B43" s="20" t="s">
        <v>34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1" x14ac:dyDescent="0.25">
      <c r="A44" s="19" t="s">
        <v>57</v>
      </c>
      <c r="B44" s="20" t="s">
        <v>53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1" x14ac:dyDescent="0.25">
      <c r="A45" s="19" t="s">
        <v>58</v>
      </c>
      <c r="B45" s="20" t="s">
        <v>34</v>
      </c>
      <c r="C45" s="25"/>
      <c r="D45" s="22">
        <v>6</v>
      </c>
      <c r="E45" s="25"/>
      <c r="F45" s="22">
        <v>9</v>
      </c>
      <c r="G45" s="25"/>
      <c r="H45" s="22">
        <v>6.08</v>
      </c>
      <c r="I45" s="25"/>
      <c r="J45" s="22"/>
      <c r="K45" s="25"/>
      <c r="L45" s="73">
        <v>7.13</v>
      </c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28.21</v>
      </c>
      <c r="AY45" s="22">
        <f t="shared" si="3"/>
        <v>26.739336492890999</v>
      </c>
    </row>
    <row r="46" spans="1:51" x14ac:dyDescent="0.25">
      <c r="A46" s="19" t="s">
        <v>110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0</v>
      </c>
      <c r="AY46" s="22">
        <f t="shared" si="3"/>
        <v>0</v>
      </c>
    </row>
    <row r="47" spans="1:51" x14ac:dyDescent="0.25">
      <c r="A47" s="19" t="s">
        <v>111</v>
      </c>
      <c r="B47" s="20" t="s">
        <v>34</v>
      </c>
      <c r="C47" s="25"/>
      <c r="D47" s="22"/>
      <c r="E47" s="25"/>
      <c r="F47" s="22"/>
      <c r="G47" s="25"/>
      <c r="H47" s="22"/>
      <c r="I47" s="25"/>
      <c r="J47" s="22">
        <v>22.01</v>
      </c>
      <c r="K47" s="25"/>
      <c r="L47" s="73"/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22.01</v>
      </c>
      <c r="AY47" s="22">
        <f t="shared" si="3"/>
        <v>20.862559241706165</v>
      </c>
    </row>
    <row r="48" spans="1:51" x14ac:dyDescent="0.25">
      <c r="A48" s="19" t="s">
        <v>112</v>
      </c>
      <c r="B48" s="20" t="s">
        <v>53</v>
      </c>
      <c r="C48" s="25"/>
      <c r="D48" s="22">
        <v>2</v>
      </c>
      <c r="E48" s="25"/>
      <c r="F48" s="22">
        <v>1.9</v>
      </c>
      <c r="G48" s="25"/>
      <c r="H48" s="22">
        <v>2.88</v>
      </c>
      <c r="I48" s="25"/>
      <c r="J48" s="22">
        <v>5.24</v>
      </c>
      <c r="K48" s="25"/>
      <c r="L48" s="73">
        <v>3.49</v>
      </c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15.51</v>
      </c>
      <c r="AY48" s="22">
        <f t="shared" si="3"/>
        <v>14.701421800947868</v>
      </c>
    </row>
    <row r="49" spans="1:53" x14ac:dyDescent="0.25">
      <c r="A49" s="19" t="s">
        <v>203</v>
      </c>
      <c r="B49" s="20" t="s">
        <v>34</v>
      </c>
      <c r="C49" s="25"/>
      <c r="D49" s="22"/>
      <c r="E49" s="25"/>
      <c r="F49" s="22"/>
      <c r="G49" s="25"/>
      <c r="H49" s="22"/>
      <c r="I49" s="25"/>
      <c r="J49" s="22"/>
      <c r="K49" s="25"/>
      <c r="L49" s="73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2"/>
        <v>0</v>
      </c>
      <c r="AY49" s="22">
        <f t="shared" si="3"/>
        <v>0</v>
      </c>
    </row>
    <row r="50" spans="1:53" x14ac:dyDescent="0.25">
      <c r="A50" s="19" t="s">
        <v>134</v>
      </c>
      <c r="B50" s="20" t="s">
        <v>34</v>
      </c>
      <c r="C50" s="25"/>
      <c r="D50" s="22"/>
      <c r="E50" s="25"/>
      <c r="F50" s="22"/>
      <c r="G50" s="25"/>
      <c r="H50" s="22"/>
      <c r="I50" s="25"/>
      <c r="J50" s="22"/>
      <c r="K50" s="25"/>
      <c r="L50" s="73"/>
      <c r="M50" s="25"/>
      <c r="N50" s="22"/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0</v>
      </c>
      <c r="AY50" s="22">
        <f t="shared" si="3"/>
        <v>0</v>
      </c>
    </row>
    <row r="51" spans="1:53" x14ac:dyDescent="0.25">
      <c r="A51" s="19" t="s">
        <v>204</v>
      </c>
      <c r="B51" s="20" t="s">
        <v>34</v>
      </c>
      <c r="C51" s="25"/>
      <c r="D51" s="22">
        <v>10</v>
      </c>
      <c r="E51" s="25"/>
      <c r="F51" s="22"/>
      <c r="G51" s="25"/>
      <c r="H51" s="22">
        <v>5.49</v>
      </c>
      <c r="I51" s="25"/>
      <c r="J51" s="22">
        <v>2.5</v>
      </c>
      <c r="K51" s="25"/>
      <c r="L51" s="73"/>
      <c r="M51" s="25"/>
      <c r="N51" s="22"/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17.990000000000002</v>
      </c>
      <c r="AY51" s="22">
        <f t="shared" si="3"/>
        <v>17.052132701421804</v>
      </c>
    </row>
    <row r="52" spans="1:53" x14ac:dyDescent="0.25">
      <c r="A52" s="19" t="s">
        <v>220</v>
      </c>
      <c r="B52" s="20" t="s">
        <v>34</v>
      </c>
      <c r="C52" s="25"/>
      <c r="D52" s="22">
        <v>6.5</v>
      </c>
      <c r="E52" s="25"/>
      <c r="F52" s="22">
        <v>3.3</v>
      </c>
      <c r="G52" s="25"/>
      <c r="H52" s="22">
        <v>8.42</v>
      </c>
      <c r="I52" s="25"/>
      <c r="J52" s="22">
        <v>2.99</v>
      </c>
      <c r="K52" s="25"/>
      <c r="L52" s="73">
        <v>2</v>
      </c>
      <c r="M52" s="25"/>
      <c r="N52" s="22"/>
      <c r="O52" s="25"/>
      <c r="P52" s="22"/>
      <c r="Q52" s="25"/>
      <c r="R52" s="22"/>
      <c r="S52" s="21"/>
      <c r="T52" s="22"/>
      <c r="U52" s="25"/>
      <c r="V52" s="22"/>
      <c r="W52" s="25"/>
      <c r="X52" s="22"/>
      <c r="Y52" s="25"/>
      <c r="Z52" s="22"/>
      <c r="AA52" s="21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2"/>
        <v>23.21</v>
      </c>
      <c r="AY52" s="22">
        <f t="shared" si="3"/>
        <v>22.000000000000004</v>
      </c>
    </row>
    <row r="53" spans="1:53" x14ac:dyDescent="0.25">
      <c r="A53" s="19" t="s">
        <v>59</v>
      </c>
      <c r="B53" s="20"/>
      <c r="C53" s="25"/>
      <c r="D53" s="22">
        <v>8</v>
      </c>
      <c r="E53" s="25"/>
      <c r="F53" s="22"/>
      <c r="G53" s="25">
        <v>5</v>
      </c>
      <c r="H53" s="22">
        <v>5</v>
      </c>
      <c r="I53" s="25"/>
      <c r="J53" s="22"/>
      <c r="K53" s="25"/>
      <c r="L53" s="73">
        <f>7</f>
        <v>7</v>
      </c>
      <c r="M53" s="25"/>
      <c r="N53" s="22"/>
      <c r="O53" s="25"/>
      <c r="P53" s="22"/>
      <c r="Q53" s="25"/>
      <c r="R53" s="22"/>
      <c r="S53" s="21"/>
      <c r="T53" s="22"/>
      <c r="U53" s="25"/>
      <c r="V53" s="22"/>
      <c r="W53" s="25"/>
      <c r="X53" s="22"/>
      <c r="Y53" s="25"/>
      <c r="Z53" s="22"/>
      <c r="AA53" s="21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20</v>
      </c>
      <c r="AY53" s="22">
        <f t="shared" si="3"/>
        <v>18.957345971563981</v>
      </c>
    </row>
    <row r="54" spans="1:53" s="18" customFormat="1" x14ac:dyDescent="0.25">
      <c r="A54" s="12" t="s">
        <v>60</v>
      </c>
      <c r="B54" s="13"/>
      <c r="C54" s="14"/>
      <c r="D54" s="15">
        <f>SUM(D55:D62)</f>
        <v>43</v>
      </c>
      <c r="E54" s="14"/>
      <c r="F54" s="15">
        <f>SUM(F55:F62)</f>
        <v>26.42</v>
      </c>
      <c r="G54" s="14"/>
      <c r="H54" s="15">
        <f>SUM(H55:H62)</f>
        <v>23.58</v>
      </c>
      <c r="I54" s="14"/>
      <c r="J54" s="15">
        <f>SUM(J55:J62)</f>
        <v>32.51</v>
      </c>
      <c r="K54" s="70"/>
      <c r="L54" s="70">
        <f>SUM(L55:L62)</f>
        <v>40.450000000000003</v>
      </c>
      <c r="M54" s="14"/>
      <c r="N54" s="15">
        <f>SUM(N55:N62)</f>
        <v>0</v>
      </c>
      <c r="O54" s="14"/>
      <c r="P54" s="15">
        <f>SUM(P55:P62)</f>
        <v>0</v>
      </c>
      <c r="Q54" s="14"/>
      <c r="R54" s="15">
        <f>SUM(R55:R62)</f>
        <v>0</v>
      </c>
      <c r="S54" s="14"/>
      <c r="T54" s="15">
        <f>SUM(T55:T62)</f>
        <v>0</v>
      </c>
      <c r="U54" s="14"/>
      <c r="V54" s="15">
        <f>SUM(V55:V62)</f>
        <v>0</v>
      </c>
      <c r="W54" s="14"/>
      <c r="X54" s="15">
        <f>SUM(X55:X62)</f>
        <v>0</v>
      </c>
      <c r="Y54" s="14"/>
      <c r="Z54" s="15">
        <f>SUM(Z55:Z62)</f>
        <v>0</v>
      </c>
      <c r="AA54" s="14"/>
      <c r="AB54" s="15">
        <f>SUM(AB55:AB62)</f>
        <v>0</v>
      </c>
      <c r="AC54" s="14"/>
      <c r="AD54" s="15">
        <f>SUM(AD55:AD62)</f>
        <v>0</v>
      </c>
      <c r="AE54" s="14"/>
      <c r="AF54" s="15">
        <f>SUM(AF55:AF62)</f>
        <v>0</v>
      </c>
      <c r="AG54" s="14"/>
      <c r="AH54" s="15">
        <f>SUM(AH55:AH62)</f>
        <v>0</v>
      </c>
      <c r="AI54" s="14"/>
      <c r="AJ54" s="15">
        <f>SUM(AJ55:AJ62)</f>
        <v>0</v>
      </c>
      <c r="AK54" s="14"/>
      <c r="AL54" s="15">
        <f>SUM(AL55:AL62)</f>
        <v>0</v>
      </c>
      <c r="AM54" s="14"/>
      <c r="AN54" s="15">
        <f>SUM(AN55:AN62)</f>
        <v>0</v>
      </c>
      <c r="AO54" s="14"/>
      <c r="AP54" s="15">
        <f>SUM(AP55:AP62)</f>
        <v>0</v>
      </c>
      <c r="AQ54" s="14"/>
      <c r="AR54" s="15">
        <f>SUM(AR55:AR62)</f>
        <v>0</v>
      </c>
      <c r="AS54" s="14"/>
      <c r="AT54" s="15">
        <f>SUM(AT55:AT62)</f>
        <v>0</v>
      </c>
      <c r="AU54" s="14"/>
      <c r="AV54" s="15">
        <f>SUM(AV55:AV62)</f>
        <v>0</v>
      </c>
      <c r="AX54" s="71">
        <f t="shared" si="2"/>
        <v>165.96</v>
      </c>
      <c r="AY54" s="15">
        <f t="shared" si="3"/>
        <v>157.30805687203792</v>
      </c>
    </row>
    <row r="55" spans="1:53" x14ac:dyDescent="0.25">
      <c r="A55" s="19" t="s">
        <v>61</v>
      </c>
      <c r="B55" s="20" t="s">
        <v>34</v>
      </c>
      <c r="C55" s="25"/>
      <c r="D55" s="22">
        <v>16</v>
      </c>
      <c r="E55" s="25"/>
      <c r="F55" s="22"/>
      <c r="G55" s="25"/>
      <c r="H55" s="22">
        <v>4.9800000000000004</v>
      </c>
      <c r="I55" s="25"/>
      <c r="J55" s="22">
        <v>2</v>
      </c>
      <c r="K55" s="1"/>
      <c r="L55" s="73">
        <v>7.58</v>
      </c>
      <c r="M55" s="25"/>
      <c r="N55" s="22"/>
      <c r="O55" s="25"/>
      <c r="P55" s="22"/>
      <c r="Q55" s="25"/>
      <c r="R55" s="22"/>
      <c r="S55" s="25"/>
      <c r="T55" s="22"/>
      <c r="U55" s="25"/>
      <c r="V55" s="22"/>
      <c r="W55" s="25"/>
      <c r="X55" s="22"/>
      <c r="Y55" s="25"/>
      <c r="Z55" s="22"/>
      <c r="AA55" s="25"/>
      <c r="AB55" s="22"/>
      <c r="AC55" s="25"/>
      <c r="AD55" s="22"/>
      <c r="AE55" s="25"/>
      <c r="AF55" s="22"/>
      <c r="AG55" s="25"/>
      <c r="AH55" s="22"/>
      <c r="AI55" s="25"/>
      <c r="AJ55" s="22"/>
      <c r="AK55" s="25"/>
      <c r="AL55" s="22"/>
      <c r="AM55" s="25"/>
      <c r="AN55" s="22"/>
      <c r="AO55" s="25"/>
      <c r="AP55" s="22"/>
      <c r="AQ55" s="25"/>
      <c r="AR55" s="22"/>
      <c r="AS55" s="25"/>
      <c r="AT55" s="22"/>
      <c r="AU55" s="25"/>
      <c r="AV55" s="22"/>
      <c r="AW55"/>
      <c r="AX55" s="74">
        <f t="shared" si="2"/>
        <v>30.560000000000002</v>
      </c>
      <c r="AY55" s="22">
        <f t="shared" si="3"/>
        <v>28.966824644549767</v>
      </c>
    </row>
    <row r="56" spans="1:53" x14ac:dyDescent="0.25">
      <c r="A56" s="19" t="s">
        <v>62</v>
      </c>
      <c r="B56" s="20" t="s">
        <v>34</v>
      </c>
      <c r="C56"/>
      <c r="D56" s="22"/>
      <c r="E56"/>
      <c r="F56" s="22"/>
      <c r="G56"/>
      <c r="H56" s="22"/>
      <c r="I56"/>
      <c r="J56" s="22">
        <v>3.57</v>
      </c>
      <c r="K56" s="1"/>
      <c r="L56" s="22"/>
      <c r="M56"/>
      <c r="N56" s="22"/>
      <c r="O56"/>
      <c r="P56" s="22"/>
      <c r="Q56"/>
      <c r="R56" s="22"/>
      <c r="S56"/>
      <c r="T56" s="22"/>
      <c r="U56"/>
      <c r="V56" s="22"/>
      <c r="W56"/>
      <c r="X56" s="22"/>
      <c r="Y56"/>
      <c r="Z56" s="22"/>
      <c r="AA56"/>
      <c r="AB56" s="22"/>
      <c r="AC56"/>
      <c r="AD56" s="22"/>
      <c r="AE56"/>
      <c r="AF56" s="22"/>
      <c r="AG56"/>
      <c r="AH56" s="22"/>
      <c r="AI56"/>
      <c r="AJ56" s="22"/>
      <c r="AK56"/>
      <c r="AL56" s="22"/>
      <c r="AM56"/>
      <c r="AN56" s="22"/>
      <c r="AO56"/>
      <c r="AP56" s="22"/>
      <c r="AQ56"/>
      <c r="AR56" s="22"/>
      <c r="AS56"/>
      <c r="AT56" s="22"/>
      <c r="AU56"/>
      <c r="AV56" s="22"/>
      <c r="AW56"/>
      <c r="AX56" s="74">
        <f t="shared" si="2"/>
        <v>3.57</v>
      </c>
      <c r="AY56" s="22">
        <f t="shared" si="3"/>
        <v>3.3838862559241707</v>
      </c>
    </row>
    <row r="57" spans="1:53" x14ac:dyDescent="0.25">
      <c r="A57" s="19" t="s">
        <v>63</v>
      </c>
      <c r="B57" s="20" t="s">
        <v>34</v>
      </c>
      <c r="C57"/>
      <c r="D57" s="22">
        <v>2</v>
      </c>
      <c r="E57"/>
      <c r="F57" s="22">
        <v>14.22</v>
      </c>
      <c r="G57"/>
      <c r="H57" s="22"/>
      <c r="I57"/>
      <c r="J57" s="22">
        <v>2.42</v>
      </c>
      <c r="K57" s="1"/>
      <c r="L57" s="22"/>
      <c r="M57"/>
      <c r="N57" s="22"/>
      <c r="O57"/>
      <c r="P57" s="22"/>
      <c r="Q57"/>
      <c r="R57" s="22"/>
      <c r="S57"/>
      <c r="T57" s="22"/>
      <c r="U57"/>
      <c r="V57" s="22"/>
      <c r="W57"/>
      <c r="X57" s="22"/>
      <c r="Y57"/>
      <c r="Z57" s="22"/>
      <c r="AA57"/>
      <c r="AB57" s="22"/>
      <c r="AC57"/>
      <c r="AD57" s="22"/>
      <c r="AE57"/>
      <c r="AF57" s="22"/>
      <c r="AG57"/>
      <c r="AH57" s="22"/>
      <c r="AI57"/>
      <c r="AJ57" s="22"/>
      <c r="AK57"/>
      <c r="AL57" s="22"/>
      <c r="AM57"/>
      <c r="AN57" s="22"/>
      <c r="AO57"/>
      <c r="AP57" s="22"/>
      <c r="AQ57"/>
      <c r="AR57" s="22"/>
      <c r="AS57"/>
      <c r="AT57" s="22"/>
      <c r="AU57"/>
      <c r="AV57" s="22"/>
      <c r="AW57"/>
      <c r="AX57" s="74">
        <f t="shared" si="2"/>
        <v>18.64</v>
      </c>
      <c r="AY57" s="22">
        <f t="shared" si="3"/>
        <v>17.668246445497633</v>
      </c>
    </row>
    <row r="58" spans="1:53" x14ac:dyDescent="0.25">
      <c r="A58" s="19" t="s">
        <v>64</v>
      </c>
      <c r="B58" s="20" t="s">
        <v>34</v>
      </c>
      <c r="C58" s="25"/>
      <c r="D58" s="22">
        <v>5</v>
      </c>
      <c r="E58" s="25"/>
      <c r="F58" s="22">
        <v>12.2</v>
      </c>
      <c r="G58" s="25"/>
      <c r="H58" s="22">
        <v>3.6</v>
      </c>
      <c r="I58" s="25"/>
      <c r="J58" s="22">
        <v>14.56</v>
      </c>
      <c r="K58" s="1"/>
      <c r="L58" s="73">
        <v>7.56</v>
      </c>
      <c r="M58" s="25"/>
      <c r="N58" s="22"/>
      <c r="O58" s="25"/>
      <c r="P58" s="22"/>
      <c r="Q58" s="25"/>
      <c r="R58" s="22"/>
      <c r="S58" s="25"/>
      <c r="T58" s="22"/>
      <c r="U58" s="85"/>
      <c r="V58" s="22"/>
      <c r="W58" s="25"/>
      <c r="X58" s="22"/>
      <c r="Y58" s="25"/>
      <c r="Z58" s="22"/>
      <c r="AA58" s="25"/>
      <c r="AB58" s="22"/>
      <c r="AC58" s="25"/>
      <c r="AD58" s="22"/>
      <c r="AE58" s="25"/>
      <c r="AF58" s="22"/>
      <c r="AG58" s="25"/>
      <c r="AH58" s="22"/>
      <c r="AI58" s="25"/>
      <c r="AJ58" s="22"/>
      <c r="AK58" s="25"/>
      <c r="AL58" s="22"/>
      <c r="AM58" s="25"/>
      <c r="AN58" s="22"/>
      <c r="AO58" s="25"/>
      <c r="AP58" s="22"/>
      <c r="AQ58" s="25"/>
      <c r="AR58" s="22"/>
      <c r="AS58" s="25"/>
      <c r="AT58" s="22"/>
      <c r="AU58" s="25"/>
      <c r="AV58" s="22"/>
      <c r="AW58"/>
      <c r="AX58" s="74">
        <f t="shared" si="2"/>
        <v>42.92</v>
      </c>
      <c r="AY58" s="22">
        <f t="shared" si="3"/>
        <v>40.682464454976305</v>
      </c>
    </row>
    <row r="59" spans="1:53" x14ac:dyDescent="0.25">
      <c r="A59" s="19" t="s">
        <v>65</v>
      </c>
      <c r="B59" s="20" t="s">
        <v>34</v>
      </c>
      <c r="C59" s="25"/>
      <c r="D59" s="22"/>
      <c r="E59" s="25"/>
      <c r="F59" s="22"/>
      <c r="G59" s="25"/>
      <c r="H59" s="22"/>
      <c r="I59" s="25"/>
      <c r="J59" s="22"/>
      <c r="K59" s="1"/>
      <c r="L59" s="73"/>
      <c r="M59" s="25"/>
      <c r="N59" s="22"/>
      <c r="O59" s="25"/>
      <c r="P59" s="22"/>
      <c r="Q59" s="25"/>
      <c r="R59" s="22"/>
      <c r="S59" s="25"/>
      <c r="T59" s="22"/>
      <c r="U59" s="2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2"/>
        <v>0</v>
      </c>
      <c r="AY59" s="22">
        <f t="shared" si="3"/>
        <v>0</v>
      </c>
    </row>
    <row r="60" spans="1:53" x14ac:dyDescent="0.25">
      <c r="A60" s="19" t="s">
        <v>66</v>
      </c>
      <c r="B60" s="20" t="s">
        <v>34</v>
      </c>
      <c r="C60" s="25"/>
      <c r="D60" s="22">
        <v>20</v>
      </c>
      <c r="E60" s="25"/>
      <c r="F60" s="22"/>
      <c r="G60" s="25"/>
      <c r="H60" s="22">
        <v>15</v>
      </c>
      <c r="I60" s="25"/>
      <c r="J60" s="22">
        <v>5.38</v>
      </c>
      <c r="K60" s="1"/>
      <c r="L60" s="73">
        <v>25.31</v>
      </c>
      <c r="M60" s="25"/>
      <c r="N60" s="22"/>
      <c r="O60" s="25"/>
      <c r="P60" s="22"/>
      <c r="Q60" s="25"/>
      <c r="R60" s="22"/>
      <c r="S60" s="25"/>
      <c r="T60" s="22"/>
      <c r="U60" s="25"/>
      <c r="V60" s="22"/>
      <c r="W60" s="25"/>
      <c r="X60" s="22"/>
      <c r="Y60" s="25"/>
      <c r="Z60" s="22"/>
      <c r="AA60" s="25"/>
      <c r="AB60" s="22"/>
      <c r="AC60" s="25"/>
      <c r="AD60" s="22"/>
      <c r="AE60" s="25"/>
      <c r="AF60" s="22"/>
      <c r="AG60" s="25"/>
      <c r="AH60" s="22"/>
      <c r="AI60" s="25"/>
      <c r="AJ60" s="22"/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 t="shared" si="2"/>
        <v>65.69</v>
      </c>
      <c r="AY60" s="22">
        <f t="shared" si="3"/>
        <v>62.265402843601898</v>
      </c>
    </row>
    <row r="61" spans="1:53" x14ac:dyDescent="0.25">
      <c r="A61" s="19" t="s">
        <v>38</v>
      </c>
      <c r="B61" s="20" t="s">
        <v>34</v>
      </c>
      <c r="C61" s="25"/>
      <c r="D61" s="22"/>
      <c r="E61" s="25"/>
      <c r="F61" s="22"/>
      <c r="G61" s="25"/>
      <c r="H61" s="22"/>
      <c r="I61" s="25"/>
      <c r="J61" s="22">
        <v>4.58</v>
      </c>
      <c r="K61" s="1"/>
      <c r="L61" s="73"/>
      <c r="M61" s="25"/>
      <c r="N61" s="22"/>
      <c r="O61" s="25"/>
      <c r="P61" s="22"/>
      <c r="Q61" s="25"/>
      <c r="R61" s="22"/>
      <c r="S61" s="25"/>
      <c r="T61" s="22"/>
      <c r="U61" s="25"/>
      <c r="V61" s="22"/>
      <c r="W61" s="25"/>
      <c r="X61" s="22"/>
      <c r="Y61" s="25"/>
      <c r="Z61" s="22"/>
      <c r="AA61" s="25"/>
      <c r="AB61" s="22"/>
      <c r="AC61" s="25"/>
      <c r="AD61" s="22"/>
      <c r="AE61" s="25"/>
      <c r="AF61" s="22"/>
      <c r="AG61" s="25"/>
      <c r="AH61" s="22"/>
      <c r="AI61" s="25"/>
      <c r="AJ61" s="22"/>
      <c r="AK61" s="25"/>
      <c r="AL61" s="22"/>
      <c r="AM61" s="25"/>
      <c r="AN61" s="22"/>
      <c r="AO61" s="25"/>
      <c r="AP61" s="22"/>
      <c r="AQ61" s="25"/>
      <c r="AR61" s="22"/>
      <c r="AS61" s="25"/>
      <c r="AT61" s="22"/>
      <c r="AU61" s="25"/>
      <c r="AV61" s="22"/>
      <c r="AW61"/>
      <c r="AX61" s="74">
        <f t="shared" si="2"/>
        <v>4.58</v>
      </c>
      <c r="AY61" s="22">
        <f t="shared" si="3"/>
        <v>4.3412322274881516</v>
      </c>
    </row>
    <row r="62" spans="1:53" x14ac:dyDescent="0.25">
      <c r="A62" s="19" t="s">
        <v>114</v>
      </c>
      <c r="B62" s="20"/>
      <c r="C62" s="25"/>
      <c r="D62" s="22"/>
      <c r="E62" s="25"/>
      <c r="F62" s="22"/>
      <c r="G62" s="25"/>
      <c r="H62" s="22"/>
      <c r="I62" s="25"/>
      <c r="J62" s="22"/>
      <c r="K62" s="1"/>
      <c r="L62" s="73"/>
      <c r="M62" s="25"/>
      <c r="N62" s="22"/>
      <c r="O62" s="25"/>
      <c r="P62" s="22"/>
      <c r="Q62" s="25"/>
      <c r="R62" s="22"/>
      <c r="S62" s="25"/>
      <c r="T62" s="22"/>
      <c r="U62" s="25"/>
      <c r="V62" s="22"/>
      <c r="W62" s="25"/>
      <c r="X62" s="22"/>
      <c r="Y62" s="25"/>
      <c r="Z62" s="22"/>
      <c r="AA62" s="25"/>
      <c r="AB62" s="22"/>
      <c r="AC62" s="25"/>
      <c r="AD62" s="22"/>
      <c r="AE62" s="25"/>
      <c r="AF62" s="22"/>
      <c r="AG62" s="25"/>
      <c r="AH62" s="22"/>
      <c r="AI62" s="25"/>
      <c r="AJ62" s="22"/>
      <c r="AK62" s="25"/>
      <c r="AL62" s="22"/>
      <c r="AM62" s="25"/>
      <c r="AN62" s="22"/>
      <c r="AO62" s="25"/>
      <c r="AP62" s="22"/>
      <c r="AQ62" s="25"/>
      <c r="AR62" s="22"/>
      <c r="AS62" s="25"/>
      <c r="AT62" s="22"/>
      <c r="AU62" s="25"/>
      <c r="AV62" s="22"/>
      <c r="AW62"/>
      <c r="AX62" s="74">
        <f t="shared" si="2"/>
        <v>0</v>
      </c>
      <c r="AY62" s="22">
        <f t="shared" si="3"/>
        <v>0</v>
      </c>
    </row>
    <row r="63" spans="1:53" s="18" customFormat="1" x14ac:dyDescent="0.25">
      <c r="A63" s="12" t="s">
        <v>67</v>
      </c>
      <c r="B63" s="13"/>
      <c r="C63" s="14"/>
      <c r="D63" s="15">
        <f>SUM(D64:D65)</f>
        <v>15</v>
      </c>
      <c r="E63" s="14"/>
      <c r="F63" s="15">
        <f>SUM(F64:F65)</f>
        <v>10.8</v>
      </c>
      <c r="G63" s="14"/>
      <c r="H63" s="15">
        <f>SUM(H64:H65)</f>
        <v>7.9</v>
      </c>
      <c r="I63" s="14"/>
      <c r="J63" s="15">
        <f>SUM(J64:J65)</f>
        <v>2.5</v>
      </c>
      <c r="K63" s="70"/>
      <c r="L63" s="70">
        <f>SUM(L64:L65)</f>
        <v>21.6</v>
      </c>
      <c r="M63" s="14"/>
      <c r="N63" s="15">
        <f>SUM(N64:N65)</f>
        <v>0</v>
      </c>
      <c r="O63" s="14"/>
      <c r="P63" s="15">
        <f>SUM(P64:P65)</f>
        <v>0</v>
      </c>
      <c r="Q63" s="14"/>
      <c r="R63" s="15">
        <f>SUM(R64:R65)</f>
        <v>0</v>
      </c>
      <c r="S63" s="14"/>
      <c r="T63" s="15">
        <f>SUM(T64:T65)</f>
        <v>0</v>
      </c>
      <c r="U63" s="14"/>
      <c r="V63" s="15">
        <f>SUM(V64:V65)</f>
        <v>0</v>
      </c>
      <c r="W63" s="14"/>
      <c r="X63" s="15">
        <f>SUM(X64:X65)</f>
        <v>0</v>
      </c>
      <c r="Y63" s="14"/>
      <c r="Z63" s="15">
        <f>SUM(Z64:Z65)</f>
        <v>0</v>
      </c>
      <c r="AA63" s="14"/>
      <c r="AB63" s="15">
        <f>SUM(AB64:AB65)</f>
        <v>0</v>
      </c>
      <c r="AC63" s="14"/>
      <c r="AD63" s="15">
        <f>SUM(AD64:AD65)</f>
        <v>0</v>
      </c>
      <c r="AE63" s="14"/>
      <c r="AF63" s="15">
        <f>SUM(AF64:AF65)</f>
        <v>0</v>
      </c>
      <c r="AG63" s="14"/>
      <c r="AH63" s="15">
        <f>SUM(AH64:AH65)</f>
        <v>0</v>
      </c>
      <c r="AI63" s="14"/>
      <c r="AJ63" s="15">
        <f>SUM(AJ64:AJ65)</f>
        <v>0</v>
      </c>
      <c r="AK63" s="14"/>
      <c r="AL63" s="15">
        <f>SUM(AL64:AL65)</f>
        <v>0</v>
      </c>
      <c r="AM63" s="14"/>
      <c r="AN63" s="15">
        <f>SUM(AN64:AN65)</f>
        <v>0</v>
      </c>
      <c r="AO63" s="14"/>
      <c r="AP63" s="15">
        <f>SUM(AP64:AP65)</f>
        <v>0</v>
      </c>
      <c r="AQ63" s="14"/>
      <c r="AR63" s="15">
        <f>SUM(AR64:AR65)</f>
        <v>0</v>
      </c>
      <c r="AS63" s="14"/>
      <c r="AT63" s="15">
        <f>SUM(AT64:AT65)</f>
        <v>0</v>
      </c>
      <c r="AU63" s="14"/>
      <c r="AV63" s="15">
        <f>SUM(AV64:AV65)</f>
        <v>0</v>
      </c>
      <c r="AX63" s="71">
        <f t="shared" si="2"/>
        <v>57.8</v>
      </c>
      <c r="AY63" s="15">
        <f t="shared" si="3"/>
        <v>54.786729857819907</v>
      </c>
    </row>
    <row r="64" spans="1:53" x14ac:dyDescent="0.25">
      <c r="A64" s="19" t="s">
        <v>68</v>
      </c>
      <c r="B64" s="20" t="s">
        <v>69</v>
      </c>
      <c r="C64" s="21">
        <v>2</v>
      </c>
      <c r="D64" s="22">
        <v>5</v>
      </c>
      <c r="E64" s="21">
        <v>2</v>
      </c>
      <c r="F64" s="22">
        <v>5</v>
      </c>
      <c r="G64" s="21">
        <v>2</v>
      </c>
      <c r="H64" s="22">
        <v>5</v>
      </c>
      <c r="I64" s="21"/>
      <c r="J64" s="22">
        <v>2.5</v>
      </c>
      <c r="K64" s="24">
        <v>4</v>
      </c>
      <c r="L64" s="73">
        <v>10</v>
      </c>
      <c r="M64" s="21"/>
      <c r="N64" s="22"/>
      <c r="O64" s="21"/>
      <c r="P64" s="22"/>
      <c r="Q64" s="21"/>
      <c r="R64" s="22"/>
      <c r="S64" s="21"/>
      <c r="T64" s="22"/>
      <c r="U64" s="21"/>
      <c r="V64" s="22"/>
      <c r="W64" s="21"/>
      <c r="X64" s="22"/>
      <c r="Y64" s="21"/>
      <c r="Z64" s="22"/>
      <c r="AA64" s="21"/>
      <c r="AB64" s="22"/>
      <c r="AC64" s="21"/>
      <c r="AD64" s="22"/>
      <c r="AE64" s="21"/>
      <c r="AF64" s="22"/>
      <c r="AG64" s="21"/>
      <c r="AH64" s="22"/>
      <c r="AI64" s="21"/>
      <c r="AJ64" s="22"/>
      <c r="AK64" s="21"/>
      <c r="AL64" s="22"/>
      <c r="AM64" s="21"/>
      <c r="AN64" s="22"/>
      <c r="AO64" s="21"/>
      <c r="AP64" s="22"/>
      <c r="AQ64" s="21"/>
      <c r="AR64" s="22"/>
      <c r="AS64" s="21"/>
      <c r="AT64" s="22"/>
      <c r="AU64" s="21"/>
      <c r="AV64" s="22"/>
      <c r="AW64"/>
      <c r="AX64" s="74">
        <f t="shared" si="2"/>
        <v>27.5</v>
      </c>
      <c r="AY64" s="22">
        <f t="shared" si="3"/>
        <v>26.066350710900476</v>
      </c>
      <c r="BA64" s="75"/>
    </row>
    <row r="65" spans="1:52" x14ac:dyDescent="0.25">
      <c r="A65" s="7" t="s">
        <v>70</v>
      </c>
      <c r="B65" s="8" t="s">
        <v>69</v>
      </c>
      <c r="C65" s="26">
        <v>3</v>
      </c>
      <c r="D65" s="10">
        <v>10</v>
      </c>
      <c r="E65" s="26">
        <v>2</v>
      </c>
      <c r="F65" s="10">
        <v>5.8</v>
      </c>
      <c r="G65" s="26">
        <v>1</v>
      </c>
      <c r="H65" s="10">
        <v>2.9</v>
      </c>
      <c r="I65" s="26"/>
      <c r="J65" s="10"/>
      <c r="K65" s="26">
        <v>4</v>
      </c>
      <c r="L65" s="68">
        <v>11.6</v>
      </c>
      <c r="M65" s="26"/>
      <c r="N65" s="10"/>
      <c r="O65" s="26"/>
      <c r="P65" s="10"/>
      <c r="Q65" s="26"/>
      <c r="R65" s="10"/>
      <c r="S65" s="26"/>
      <c r="T65" s="10"/>
      <c r="U65" s="26"/>
      <c r="V65" s="10"/>
      <c r="W65" s="26"/>
      <c r="X65" s="10"/>
      <c r="Y65" s="26"/>
      <c r="Z65" s="10"/>
      <c r="AA65" s="26"/>
      <c r="AB65" s="10"/>
      <c r="AC65" s="26"/>
      <c r="AD65" s="10"/>
      <c r="AE65" s="26"/>
      <c r="AF65" s="10"/>
      <c r="AG65" s="26"/>
      <c r="AH65" s="10"/>
      <c r="AI65" s="26"/>
      <c r="AJ65" s="10"/>
      <c r="AK65" s="26"/>
      <c r="AL65" s="10"/>
      <c r="AM65" s="26"/>
      <c r="AN65" s="10"/>
      <c r="AO65" s="26"/>
      <c r="AP65" s="10"/>
      <c r="AQ65" s="26"/>
      <c r="AR65" s="10"/>
      <c r="AS65" s="26"/>
      <c r="AT65" s="10"/>
      <c r="AU65" s="26"/>
      <c r="AV65" s="10"/>
      <c r="AW65"/>
      <c r="AX65" s="77">
        <f t="shared" si="2"/>
        <v>30.3</v>
      </c>
      <c r="AY65" s="10">
        <f t="shared" si="3"/>
        <v>28.720379146919434</v>
      </c>
    </row>
    <row r="66" spans="1:52" s="18" customFormat="1" x14ac:dyDescent="0.25">
      <c r="A66" s="12" t="s">
        <v>71</v>
      </c>
      <c r="B66" s="13"/>
      <c r="C66" s="14"/>
      <c r="D66" s="15">
        <f>SUM(D67:D67)</f>
        <v>0</v>
      </c>
      <c r="E66" s="14"/>
      <c r="F66" s="15">
        <f>SUM(F67:F67)</f>
        <v>0</v>
      </c>
      <c r="G66" s="14"/>
      <c r="H66" s="15">
        <f>SUM(H67:H67)</f>
        <v>0</v>
      </c>
      <c r="I66" s="14"/>
      <c r="J66" s="15">
        <f>SUM(J67:J67)</f>
        <v>0</v>
      </c>
      <c r="K66" s="70"/>
      <c r="L66" s="70"/>
      <c r="M66" s="14"/>
      <c r="N66" s="15">
        <f>SUM(N67:N67)</f>
        <v>0</v>
      </c>
      <c r="O66" s="14"/>
      <c r="P66" s="15">
        <f>SUM(P67:P67)</f>
        <v>0</v>
      </c>
      <c r="Q66" s="14"/>
      <c r="R66" s="15">
        <f>SUM(R67:R67)</f>
        <v>0</v>
      </c>
      <c r="S66" s="14"/>
      <c r="T66" s="15">
        <f>SUM(T67:T67)</f>
        <v>0</v>
      </c>
      <c r="U66" s="14"/>
      <c r="V66" s="15">
        <f>SUM(V67:V67)</f>
        <v>0</v>
      </c>
      <c r="W66" s="14"/>
      <c r="X66" s="15">
        <f>SUM(X67:X67)</f>
        <v>0</v>
      </c>
      <c r="Y66" s="14"/>
      <c r="Z66" s="15">
        <f>SUM(Z67:Z67)</f>
        <v>0</v>
      </c>
      <c r="AA66" s="14"/>
      <c r="AB66" s="15">
        <f>SUM(AB67:AB67)</f>
        <v>0</v>
      </c>
      <c r="AC66" s="14"/>
      <c r="AD66" s="15">
        <f>SUM(AD67:AD67)</f>
        <v>0</v>
      </c>
      <c r="AE66" s="14"/>
      <c r="AF66" s="15">
        <f>SUM(AF67:AF67)</f>
        <v>0</v>
      </c>
      <c r="AG66" s="14"/>
      <c r="AH66" s="15">
        <f>SUM(AH67:AH67)</f>
        <v>0</v>
      </c>
      <c r="AI66" s="14"/>
      <c r="AJ66" s="15">
        <f>SUM(AJ67:AJ67)</f>
        <v>0</v>
      </c>
      <c r="AK66" s="14"/>
      <c r="AL66" s="15">
        <f>SUM(AL67:AL67)</f>
        <v>0</v>
      </c>
      <c r="AM66" s="14"/>
      <c r="AN66" s="15">
        <f>SUM(AN67:AN67)</f>
        <v>0</v>
      </c>
      <c r="AO66" s="14"/>
      <c r="AP66" s="15">
        <f>SUM(AP67:AP67)</f>
        <v>0</v>
      </c>
      <c r="AQ66" s="14"/>
      <c r="AR66" s="15">
        <f>SUM(AR67:AR67)</f>
        <v>0</v>
      </c>
      <c r="AS66" s="14"/>
      <c r="AT66" s="15">
        <f>SUM(AT67:AT67)</f>
        <v>0</v>
      </c>
      <c r="AU66" s="14"/>
      <c r="AV66" s="15">
        <f>SUM(AV67:AV67)</f>
        <v>0</v>
      </c>
      <c r="AX66" s="71">
        <f t="shared" si="2"/>
        <v>0</v>
      </c>
      <c r="AY66" s="15">
        <f t="shared" si="3"/>
        <v>0</v>
      </c>
    </row>
    <row r="67" spans="1:52" x14ac:dyDescent="0.25">
      <c r="A67" s="7" t="s">
        <v>72</v>
      </c>
      <c r="B67" s="8" t="s">
        <v>73</v>
      </c>
      <c r="C67" s="26"/>
      <c r="D67" s="10"/>
      <c r="E67" s="26"/>
      <c r="F67" s="10"/>
      <c r="G67" s="26"/>
      <c r="H67" s="10"/>
      <c r="I67" s="26"/>
      <c r="J67" s="10"/>
      <c r="K67" s="76"/>
      <c r="L67" s="68"/>
      <c r="M67" s="26"/>
      <c r="N67" s="10"/>
      <c r="O67" s="26"/>
      <c r="P67" s="10"/>
      <c r="Q67" s="26"/>
      <c r="R67" s="10"/>
      <c r="S67" s="26"/>
      <c r="T67" s="10"/>
      <c r="U67" s="26"/>
      <c r="V67" s="10"/>
      <c r="W67" s="26"/>
      <c r="X67" s="10"/>
      <c r="Y67" s="26"/>
      <c r="Z67" s="10"/>
      <c r="AA67" s="26"/>
      <c r="AB67" s="10"/>
      <c r="AC67" s="26"/>
      <c r="AD67" s="10"/>
      <c r="AE67" s="26"/>
      <c r="AF67" s="10"/>
      <c r="AG67" s="26"/>
      <c r="AH67" s="10"/>
      <c r="AI67" s="26"/>
      <c r="AJ67" s="10"/>
      <c r="AK67" s="26"/>
      <c r="AL67" s="10"/>
      <c r="AM67" s="26"/>
      <c r="AN67" s="10"/>
      <c r="AO67" s="26"/>
      <c r="AP67" s="10"/>
      <c r="AQ67" s="26"/>
      <c r="AR67" s="10"/>
      <c r="AS67" s="26"/>
      <c r="AT67" s="10"/>
      <c r="AU67" s="26"/>
      <c r="AV67" s="10"/>
      <c r="AW67"/>
      <c r="AX67" s="77">
        <f t="shared" si="2"/>
        <v>0</v>
      </c>
      <c r="AY67" s="10">
        <f t="shared" ref="AY67:AY68" si="4">AX67/1.055</f>
        <v>0</v>
      </c>
    </row>
    <row r="68" spans="1:52" s="30" customFormat="1" x14ac:dyDescent="0.25">
      <c r="A68" s="138" t="s">
        <v>74</v>
      </c>
      <c r="B68" s="138"/>
      <c r="C68" s="28"/>
      <c r="D68" s="29">
        <f>D3+D34+D54+D63+D66</f>
        <v>155.5</v>
      </c>
      <c r="E68" s="28"/>
      <c r="F68" s="29">
        <f>F3+F34+F54+F63+F66</f>
        <v>199.57</v>
      </c>
      <c r="G68" s="28"/>
      <c r="H68" s="29">
        <f>H3+H34+H54+H63+H66</f>
        <v>394.35999999999996</v>
      </c>
      <c r="I68" s="28"/>
      <c r="J68" s="29">
        <f>J3+J34+J54+J63+J66</f>
        <v>274.92</v>
      </c>
      <c r="K68" s="29"/>
      <c r="L68" s="29">
        <f>L3+L34+L54+L63+L66</f>
        <v>489.21</v>
      </c>
      <c r="M68" s="28"/>
      <c r="N68" s="29">
        <f>N3+N34+N54+N63+N66</f>
        <v>0</v>
      </c>
      <c r="O68" s="28"/>
      <c r="P68" s="29">
        <f>P3+P34+P54+P63+P66</f>
        <v>0</v>
      </c>
      <c r="Q68" s="28"/>
      <c r="R68" s="29">
        <f>R3+R34+R54+R63+R66</f>
        <v>0</v>
      </c>
      <c r="S68" s="28"/>
      <c r="T68" s="29">
        <f>T3+T34+T54+T63+T66</f>
        <v>0</v>
      </c>
      <c r="U68" s="28"/>
      <c r="V68" s="29">
        <f>V3+V34+V54+V63+V66</f>
        <v>0</v>
      </c>
      <c r="W68" s="28"/>
      <c r="X68" s="29">
        <f>X3+X34+X54+X63+X66</f>
        <v>0</v>
      </c>
      <c r="Y68" s="28"/>
      <c r="Z68" s="29">
        <f>Z3+Z34+Z54+Z63+Z66</f>
        <v>0</v>
      </c>
      <c r="AA68" s="28"/>
      <c r="AB68" s="29">
        <f>AB3+AB34+AB54+AB63+AB66</f>
        <v>0</v>
      </c>
      <c r="AC68" s="28"/>
      <c r="AD68" s="29">
        <f>AD3+AD34+AD54+AD63+AD66</f>
        <v>0</v>
      </c>
      <c r="AE68" s="28"/>
      <c r="AF68" s="29">
        <f>AF3+AF34+AF54+AF63+AF66</f>
        <v>0</v>
      </c>
      <c r="AG68" s="28"/>
      <c r="AH68" s="29">
        <f>AH3+AH34+AH54+AH63+AH66</f>
        <v>0</v>
      </c>
      <c r="AI68" s="28"/>
      <c r="AJ68" s="29">
        <f>AJ3+AJ34+AJ54+AJ63+AJ66</f>
        <v>0</v>
      </c>
      <c r="AK68" s="28"/>
      <c r="AL68" s="29">
        <f>AL3+AL34+AL54+AL63+AL66</f>
        <v>0</v>
      </c>
      <c r="AM68" s="28"/>
      <c r="AN68" s="29">
        <f>AN3+AN34+AN54+AN63+AN66</f>
        <v>0</v>
      </c>
      <c r="AO68" s="28"/>
      <c r="AP68" s="29">
        <f>AP3+AP34+AP54+AP63+AP66</f>
        <v>0</v>
      </c>
      <c r="AQ68" s="28"/>
      <c r="AR68" s="29">
        <f>AR3+AR34+AR54+AR63+AR66</f>
        <v>0</v>
      </c>
      <c r="AS68" s="28"/>
      <c r="AT68" s="29">
        <f>AT3+AT34+AT54+AT63+AT66</f>
        <v>0</v>
      </c>
      <c r="AU68" s="28"/>
      <c r="AV68" s="29">
        <f>AV3+AV34+AV54+AV63+AV66</f>
        <v>0</v>
      </c>
      <c r="AW68" s="29"/>
      <c r="AX68" s="28">
        <f t="shared" si="2"/>
        <v>1513.56</v>
      </c>
      <c r="AY68" s="29">
        <f t="shared" si="4"/>
        <v>1434.654028436019</v>
      </c>
    </row>
    <row r="69" spans="1:52" x14ac:dyDescent="0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Y69" s="78"/>
      <c r="AZ69" s="91"/>
    </row>
    <row r="70" spans="1:52" x14ac:dyDescent="0.25">
      <c r="A70" s="139" t="s">
        <v>75</v>
      </c>
      <c r="B70" s="33" t="s">
        <v>76</v>
      </c>
      <c r="C70" s="34"/>
      <c r="D70" s="96">
        <v>135.4</v>
      </c>
      <c r="E70" s="34"/>
      <c r="F70" s="36">
        <f>320-120.65</f>
        <v>199.35</v>
      </c>
      <c r="G70" s="34"/>
      <c r="H70" s="37">
        <v>390</v>
      </c>
      <c r="I70" s="34"/>
      <c r="J70" s="37">
        <f>293.9-19.2</f>
        <v>274.7</v>
      </c>
      <c r="K70" s="36"/>
      <c r="L70" s="36">
        <f>560-70.2</f>
        <v>489.8</v>
      </c>
      <c r="M70" s="34"/>
      <c r="N70" s="37"/>
      <c r="O70" s="34"/>
      <c r="P70" s="37"/>
      <c r="Q70" s="34"/>
      <c r="R70" s="36"/>
      <c r="S70" s="34"/>
      <c r="T70" s="37"/>
      <c r="U70" s="34"/>
      <c r="V70" s="37"/>
      <c r="W70" s="34"/>
      <c r="X70" s="37"/>
      <c r="Y70" s="34"/>
      <c r="Z70" s="37"/>
      <c r="AA70" s="34"/>
      <c r="AB70" s="37"/>
      <c r="AC70" s="34"/>
      <c r="AD70" s="37"/>
      <c r="AE70" s="34"/>
      <c r="AF70" s="37"/>
      <c r="AG70" s="34"/>
      <c r="AH70" s="37"/>
      <c r="AI70" s="34"/>
      <c r="AJ70" s="37"/>
      <c r="AK70" s="34"/>
      <c r="AL70" s="37"/>
      <c r="AM70" s="34"/>
      <c r="AN70" s="37"/>
      <c r="AO70" s="34"/>
      <c r="AP70" s="37"/>
      <c r="AQ70" s="34"/>
      <c r="AR70" s="37"/>
      <c r="AS70" s="34"/>
      <c r="AT70" s="37"/>
      <c r="AU70" s="34"/>
      <c r="AV70" s="37"/>
      <c r="AW70" s="79"/>
      <c r="AX70" s="92">
        <f>SUM(D70,F70,H70,J70,L70,N70,P70,R70,T70,V70,X70,Z70,AB70,AD70,AF70,AH70,AJ70,AL70,AN70,AP70,AR70,AT70,AV70)</f>
        <v>1489.25</v>
      </c>
      <c r="AY70" s="37">
        <f>AX70/1.055</f>
        <v>1411.6113744075831</v>
      </c>
    </row>
    <row r="71" spans="1:52" x14ac:dyDescent="0.25">
      <c r="A71" s="139"/>
      <c r="B71" s="38" t="s">
        <v>77</v>
      </c>
      <c r="C71" s="39"/>
      <c r="D71" s="97">
        <v>20.100000000000001</v>
      </c>
      <c r="E71" s="39"/>
      <c r="F71" s="41"/>
      <c r="G71" s="39"/>
      <c r="H71" s="42"/>
      <c r="I71" s="39"/>
      <c r="J71" s="42"/>
      <c r="K71" s="88"/>
      <c r="L71" s="41"/>
      <c r="M71" s="39"/>
      <c r="N71" s="42"/>
      <c r="O71" s="39"/>
      <c r="P71" s="42"/>
      <c r="Q71" s="43"/>
      <c r="R71" s="41"/>
      <c r="S71" s="39"/>
      <c r="T71" s="42"/>
      <c r="U71" s="39"/>
      <c r="V71" s="42"/>
      <c r="W71" s="39"/>
      <c r="X71" s="42"/>
      <c r="Y71" s="39"/>
      <c r="Z71" s="42"/>
      <c r="AA71" s="39"/>
      <c r="AB71" s="42"/>
      <c r="AC71" s="39"/>
      <c r="AD71" s="42"/>
      <c r="AE71" s="39"/>
      <c r="AF71" s="42"/>
      <c r="AG71" s="39"/>
      <c r="AH71" s="42"/>
      <c r="AI71" s="39"/>
      <c r="AJ71" s="42"/>
      <c r="AK71" s="39"/>
      <c r="AL71" s="42"/>
      <c r="AM71" s="39"/>
      <c r="AN71" s="42"/>
      <c r="AO71" s="39"/>
      <c r="AP71" s="42"/>
      <c r="AQ71" s="39"/>
      <c r="AR71" s="42"/>
      <c r="AS71" s="39"/>
      <c r="AT71" s="42"/>
      <c r="AU71" s="39"/>
      <c r="AV71" s="42"/>
      <c r="AW71" s="80">
        <f>SUM(C71,E71,G71,I71,K71,M71,O71,Q71,S71,U71,W71,Y71,AA71,AC71,AE71,AG71,AI71,AK71,AM71,AO71,AQ71,AS71,AU71)</f>
        <v>0</v>
      </c>
      <c r="AX71" s="93">
        <f>SUM(D71,F71,H71,J71,L71,N71,P71,R71,T71,V71,X71,Z71,AB71,AD71,AF71,AH71,AJ71,AL71,AN71,AP71,AR71,AT71,AV71)</f>
        <v>20.100000000000001</v>
      </c>
      <c r="AY71" s="42">
        <f>AX71/1.055</f>
        <v>19.052132701421804</v>
      </c>
    </row>
    <row r="72" spans="1:52" x14ac:dyDescent="0.25">
      <c r="A72" s="139"/>
      <c r="B72" s="38" t="s">
        <v>157</v>
      </c>
      <c r="C72" s="43"/>
      <c r="D72" s="97"/>
      <c r="E72" s="43"/>
      <c r="F72" s="41"/>
      <c r="G72" s="43"/>
      <c r="H72" s="42"/>
      <c r="I72" s="43"/>
      <c r="J72" s="42"/>
      <c r="K72" s="41"/>
      <c r="L72" s="41"/>
      <c r="M72" s="43"/>
      <c r="N72" s="42"/>
      <c r="O72" s="43"/>
      <c r="P72" s="42"/>
      <c r="Q72" s="43"/>
      <c r="R72" s="41"/>
      <c r="S72" s="43"/>
      <c r="T72" s="42"/>
      <c r="U72" s="43"/>
      <c r="V72" s="42"/>
      <c r="W72" s="43"/>
      <c r="X72" s="42"/>
      <c r="Y72" s="43"/>
      <c r="Z72" s="42"/>
      <c r="AA72" s="43"/>
      <c r="AB72" s="42"/>
      <c r="AC72" s="43"/>
      <c r="AD72" s="42"/>
      <c r="AE72" s="43"/>
      <c r="AF72" s="42"/>
      <c r="AG72" s="43"/>
      <c r="AH72" s="42"/>
      <c r="AI72" s="43"/>
      <c r="AJ72" s="42"/>
      <c r="AK72" s="43"/>
      <c r="AL72" s="42"/>
      <c r="AM72" s="43"/>
      <c r="AN72" s="42"/>
      <c r="AO72" s="43"/>
      <c r="AP72" s="42"/>
      <c r="AQ72" s="43"/>
      <c r="AR72" s="42"/>
      <c r="AS72" s="43"/>
      <c r="AT72" s="42"/>
      <c r="AU72" s="43"/>
      <c r="AV72" s="42"/>
      <c r="AW72" s="81"/>
      <c r="AX72" s="94"/>
      <c r="AY72" s="42"/>
    </row>
    <row r="73" spans="1:52" s="51" customFormat="1" x14ac:dyDescent="0.25">
      <c r="A73" s="139"/>
      <c r="B73" s="44" t="s">
        <v>78</v>
      </c>
      <c r="C73" s="45"/>
      <c r="D73" s="98">
        <f>SUM(D70:D72)</f>
        <v>155.5</v>
      </c>
      <c r="E73" s="45"/>
      <c r="F73" s="47">
        <f>SUM(F70:F72)</f>
        <v>199.35</v>
      </c>
      <c r="G73" s="45"/>
      <c r="H73" s="48">
        <f>SUM(H70:H72)</f>
        <v>390</v>
      </c>
      <c r="I73" s="45"/>
      <c r="J73" s="48">
        <f>SUM(J70:J72)</f>
        <v>274.7</v>
      </c>
      <c r="K73" s="47"/>
      <c r="L73" s="47">
        <f>SUM(L70:L72)</f>
        <v>489.8</v>
      </c>
      <c r="M73" s="45"/>
      <c r="N73" s="48">
        <f>SUM(N70:N72)</f>
        <v>0</v>
      </c>
      <c r="O73" s="45"/>
      <c r="P73" s="48">
        <f>SUM(P70:P72)</f>
        <v>0</v>
      </c>
      <c r="Q73" s="45"/>
      <c r="R73" s="47">
        <f>SUM(R70:R72)</f>
        <v>0</v>
      </c>
      <c r="S73" s="45"/>
      <c r="T73" s="48">
        <f>SUM(T70:T72)</f>
        <v>0</v>
      </c>
      <c r="U73" s="45"/>
      <c r="V73" s="48">
        <f>SUM(V70:V72)</f>
        <v>0</v>
      </c>
      <c r="W73" s="45"/>
      <c r="X73" s="48">
        <f>SUM(X70:X72)</f>
        <v>0</v>
      </c>
      <c r="Y73" s="45"/>
      <c r="Z73" s="48">
        <f>SUM(Z70:Z72)</f>
        <v>0</v>
      </c>
      <c r="AA73" s="45"/>
      <c r="AB73" s="48">
        <f>SUM(AB70:AB72)</f>
        <v>0</v>
      </c>
      <c r="AC73" s="45"/>
      <c r="AD73" s="48">
        <f>SUM(AD70:AD72)</f>
        <v>0</v>
      </c>
      <c r="AE73" s="45"/>
      <c r="AF73" s="48">
        <f>SUM(AF70:AF72)</f>
        <v>0</v>
      </c>
      <c r="AG73" s="45"/>
      <c r="AH73" s="48">
        <f>SUM(AH70:AH72)</f>
        <v>0</v>
      </c>
      <c r="AI73" s="45"/>
      <c r="AJ73" s="48">
        <f>SUM(AJ70:AJ72)</f>
        <v>0</v>
      </c>
      <c r="AK73" s="45"/>
      <c r="AL73" s="48">
        <f>SUM(AL70:AL72)</f>
        <v>0</v>
      </c>
      <c r="AM73" s="45"/>
      <c r="AN73" s="48">
        <f>SUM(AN70:AN72)</f>
        <v>0</v>
      </c>
      <c r="AO73" s="45"/>
      <c r="AP73" s="48">
        <f>SUM(AP70:AP72)</f>
        <v>0</v>
      </c>
      <c r="AQ73" s="45"/>
      <c r="AR73" s="48">
        <f>SUM(AR70:AR72)</f>
        <v>0</v>
      </c>
      <c r="AS73" s="45"/>
      <c r="AT73" s="48">
        <f>SUM(AT70:AT72)</f>
        <v>0</v>
      </c>
      <c r="AU73" s="45"/>
      <c r="AV73" s="48">
        <f>SUM(AV70:AV72)</f>
        <v>0</v>
      </c>
      <c r="AW73" s="82"/>
      <c r="AX73" s="95">
        <f>SUM(AX70:AX72)</f>
        <v>1509.35</v>
      </c>
      <c r="AY73" s="48">
        <f>SUM(AY70:AY72)</f>
        <v>1430.663507109005</v>
      </c>
    </row>
    <row r="74" spans="1:52" ht="15" customHeight="1" x14ac:dyDescent="0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83"/>
      <c r="N74" s="83"/>
      <c r="O74" s="147"/>
      <c r="P74" s="147"/>
      <c r="Q74" s="83"/>
      <c r="R74" s="83"/>
      <c r="S74" s="83"/>
      <c r="T74" s="83"/>
      <c r="U74" s="83"/>
      <c r="V74" s="83"/>
      <c r="W74" s="32"/>
      <c r="X74" s="32"/>
      <c r="Y74" s="32"/>
      <c r="Z74" s="32"/>
      <c r="AA74" s="32"/>
      <c r="AB74" s="32"/>
      <c r="AC74" s="32"/>
      <c r="AD74" s="32"/>
      <c r="AE74" s="66"/>
      <c r="AF74" s="66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</sheetData>
  <mergeCells count="28">
    <mergeCell ref="A68:B68"/>
    <mergeCell ref="A70:A73"/>
    <mergeCell ref="O74:P74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FFFFFF"/>
  </sheetPr>
  <dimension ref="A1:BC78"/>
  <sheetViews>
    <sheetView windowProtection="1" zoomScaleNormal="100" workbookViewId="0">
      <pane xSplit="2" ySplit="2" topLeftCell="AC3" activePane="bottomRight" state="frozen"/>
      <selection pane="topRight" activeCell="C1" sqref="C1"/>
      <selection pane="bottomLeft" activeCell="A45" sqref="A45"/>
      <selection pane="bottomRight" activeCell="F72" sqref="F72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.85546875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1.57031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710937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227</v>
      </c>
      <c r="D1" s="136"/>
      <c r="E1" s="136" t="s">
        <v>228</v>
      </c>
      <c r="F1" s="136"/>
      <c r="G1" s="136" t="s">
        <v>229</v>
      </c>
      <c r="H1" s="136"/>
      <c r="I1" s="136" t="s">
        <v>230</v>
      </c>
      <c r="J1" s="136"/>
      <c r="K1" s="145" t="s">
        <v>231</v>
      </c>
      <c r="L1" s="145"/>
      <c r="M1" s="136" t="s">
        <v>232</v>
      </c>
      <c r="N1" s="136"/>
      <c r="O1" s="136" t="s">
        <v>233</v>
      </c>
      <c r="P1" s="136"/>
      <c r="Q1" s="136" t="s">
        <v>234</v>
      </c>
      <c r="R1" s="136"/>
      <c r="S1" s="136" t="s">
        <v>235</v>
      </c>
      <c r="T1" s="136"/>
      <c r="U1" s="136" t="s">
        <v>236</v>
      </c>
      <c r="V1" s="136"/>
      <c r="W1" s="136" t="s">
        <v>237</v>
      </c>
      <c r="X1" s="136"/>
      <c r="Y1" s="136" t="s">
        <v>238</v>
      </c>
      <c r="Z1" s="136"/>
      <c r="AA1" s="136" t="s">
        <v>239</v>
      </c>
      <c r="AB1" s="136"/>
      <c r="AC1" s="136" t="s">
        <v>240</v>
      </c>
      <c r="AD1" s="136"/>
      <c r="AE1" s="136" t="s">
        <v>241</v>
      </c>
      <c r="AF1" s="136"/>
      <c r="AG1" s="136" t="s">
        <v>242</v>
      </c>
      <c r="AH1" s="136"/>
      <c r="AI1" s="136" t="s">
        <v>243</v>
      </c>
      <c r="AJ1" s="136"/>
      <c r="AK1" s="136" t="s">
        <v>244</v>
      </c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SUM(D4:D33)</f>
        <v>610.20000000000005</v>
      </c>
      <c r="E3" s="14"/>
      <c r="F3" s="15">
        <f>SUM(F4:F33)</f>
        <v>185</v>
      </c>
      <c r="G3" s="14"/>
      <c r="H3" s="15">
        <f>SUM(H4:H33)</f>
        <v>881.3</v>
      </c>
      <c r="I3" s="14"/>
      <c r="J3" s="15">
        <f>SUM(J4:J33)</f>
        <v>455.94</v>
      </c>
      <c r="K3" s="70"/>
      <c r="L3" s="70">
        <f>SUM(L4:L33)</f>
        <v>785.8</v>
      </c>
      <c r="M3" s="14"/>
      <c r="N3" s="15">
        <f>SUM(N4:N33)</f>
        <v>183.4</v>
      </c>
      <c r="O3" s="14"/>
      <c r="P3" s="15">
        <f>SUM(P4:P33)</f>
        <v>987.18</v>
      </c>
      <c r="Q3" s="14"/>
      <c r="R3" s="15">
        <f>SUM(R4:R33)</f>
        <v>614.38</v>
      </c>
      <c r="S3" s="14"/>
      <c r="T3" s="15">
        <f>SUM(T4:T33)</f>
        <v>1224.52</v>
      </c>
      <c r="U3" s="14"/>
      <c r="V3" s="15">
        <f>SUM(V4:V33)</f>
        <v>375.91999999999996</v>
      </c>
      <c r="W3" s="14"/>
      <c r="X3" s="15">
        <f>SUM(X4:X33)</f>
        <v>978.74</v>
      </c>
      <c r="Y3" s="14"/>
      <c r="Z3" s="15">
        <f>SUM(Z4:Z33)</f>
        <v>633.51</v>
      </c>
      <c r="AA3" s="14"/>
      <c r="AB3" s="15">
        <f>SUM(AB4:AB33)</f>
        <v>396.73</v>
      </c>
      <c r="AC3" s="14"/>
      <c r="AD3" s="15">
        <f>SUM(AD4:AD33)</f>
        <v>451.79999999999995</v>
      </c>
      <c r="AE3" s="14"/>
      <c r="AF3" s="15">
        <f>SUM(AF4:AF33)</f>
        <v>1239</v>
      </c>
      <c r="AG3" s="14"/>
      <c r="AH3" s="15">
        <f>SUM(AH4:AH33)</f>
        <v>527.75</v>
      </c>
      <c r="AI3" s="14"/>
      <c r="AJ3" s="15">
        <f>SUM(AJ4:AJ33)</f>
        <v>892.34000000000015</v>
      </c>
      <c r="AK3" s="14"/>
      <c r="AL3" s="15">
        <f>SUM(AL4:AL33)</f>
        <v>601.34999999999991</v>
      </c>
      <c r="AM3" s="14"/>
      <c r="AN3" s="15">
        <f>SUM(AN4:AN33)</f>
        <v>0</v>
      </c>
      <c r="AO3" s="14"/>
      <c r="AP3" s="15">
        <f>SUM(AP4:AP33)</f>
        <v>0</v>
      </c>
      <c r="AQ3" s="14"/>
      <c r="AR3" s="15">
        <f>SUM(AR4:AR33)</f>
        <v>0</v>
      </c>
      <c r="AS3" s="14"/>
      <c r="AT3" s="15">
        <f>SUM(AT4:AT33)</f>
        <v>0</v>
      </c>
      <c r="AU3" s="14"/>
      <c r="AV3" s="15">
        <f>SUM(AV4:AV33)</f>
        <v>0</v>
      </c>
      <c r="AX3" s="84">
        <f t="shared" ref="AX3:AX34" si="0">SUM(AV3,AT3,AR3,AP3,AN3,AL3,AJ3,AH3,AF3,AD3,AB3,Z3,X3,V3,T3,R3,P3,N3,L3,J3,H3,F3,D3)</f>
        <v>12024.859999999999</v>
      </c>
      <c r="AY3" s="15">
        <f t="shared" ref="AY3:AY34" si="1">AX3/1.055</f>
        <v>11397.971563981042</v>
      </c>
    </row>
    <row r="4" spans="1:51" x14ac:dyDescent="0.25">
      <c r="A4" s="19" t="s">
        <v>25</v>
      </c>
      <c r="B4" s="20" t="s">
        <v>26</v>
      </c>
      <c r="C4" s="21">
        <f>13+16+3*13</f>
        <v>68</v>
      </c>
      <c r="D4" s="2">
        <f>50.7+61.6+143+100</f>
        <v>355.3</v>
      </c>
      <c r="E4" s="21">
        <v>30</v>
      </c>
      <c r="F4" s="22">
        <v>125</v>
      </c>
      <c r="G4" s="21">
        <f>45+6+33</f>
        <v>84</v>
      </c>
      <c r="H4" s="22">
        <f>175.5+23.4+121+40</f>
        <v>359.9</v>
      </c>
      <c r="I4" s="21">
        <v>60</v>
      </c>
      <c r="J4" s="22">
        <v>222</v>
      </c>
      <c r="K4" s="72">
        <f>28+24+3*16</f>
        <v>100</v>
      </c>
      <c r="L4" s="73">
        <f>176+93.6+109.2</f>
        <v>378.8</v>
      </c>
      <c r="M4" s="21">
        <v>31</v>
      </c>
      <c r="N4" s="22">
        <v>114.7</v>
      </c>
      <c r="O4" s="21">
        <f>24+2*8+3*18</f>
        <v>94</v>
      </c>
      <c r="P4" s="22">
        <f>93.6+62.4+198+20</f>
        <v>374</v>
      </c>
      <c r="Q4" s="21"/>
      <c r="R4" s="22">
        <v>314.5</v>
      </c>
      <c r="S4" s="21">
        <f>25+2*8+3*15</f>
        <v>86</v>
      </c>
      <c r="T4" s="22">
        <f>97.5+62.4+165</f>
        <v>324.89999999999998</v>
      </c>
      <c r="U4" s="21"/>
      <c r="V4" s="22">
        <v>155.4</v>
      </c>
      <c r="W4" s="21">
        <f>19+2*6+3*19</f>
        <v>88</v>
      </c>
      <c r="X4" s="22">
        <f>74.1+46.8+209</f>
        <v>329.9</v>
      </c>
      <c r="Y4" s="21">
        <v>88</v>
      </c>
      <c r="Z4" s="22">
        <f>325.6+8</f>
        <v>333.6</v>
      </c>
      <c r="AA4" s="21">
        <f>8+2*6+3*6</f>
        <v>38</v>
      </c>
      <c r="AB4" s="22">
        <f>31.2+46.8+66</f>
        <v>144</v>
      </c>
      <c r="AC4" s="21">
        <v>76</v>
      </c>
      <c r="AD4" s="22">
        <v>281.2</v>
      </c>
      <c r="AE4" s="21">
        <f>36+20+99</f>
        <v>155</v>
      </c>
      <c r="AF4" s="22">
        <v>600</v>
      </c>
      <c r="AG4" s="21">
        <v>42</v>
      </c>
      <c r="AH4" s="22">
        <v>251.6</v>
      </c>
      <c r="AI4" s="21">
        <f>19+2*5+3*12</f>
        <v>65</v>
      </c>
      <c r="AJ4" s="22">
        <f>74.1+39+132+45+10</f>
        <v>300.10000000000002</v>
      </c>
      <c r="AK4" s="21">
        <v>63</v>
      </c>
      <c r="AL4" s="22">
        <v>266.39999999999998</v>
      </c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5231.3</v>
      </c>
      <c r="AY4" s="22">
        <f t="shared" si="1"/>
        <v>4958.5781990521327</v>
      </c>
    </row>
    <row r="5" spans="1:51" x14ac:dyDescent="0.25">
      <c r="A5" s="19" t="s">
        <v>27</v>
      </c>
      <c r="B5" s="20" t="s">
        <v>26</v>
      </c>
      <c r="C5" s="21">
        <f>6+2*5+3*3+1</f>
        <v>26</v>
      </c>
      <c r="D5" s="22">
        <f>21.3+36+30+3.1+54</f>
        <v>144.39999999999998</v>
      </c>
      <c r="E5" s="21">
        <v>2</v>
      </c>
      <c r="F5" s="22">
        <v>10</v>
      </c>
      <c r="G5" s="21">
        <f>22+2+54</f>
        <v>78</v>
      </c>
      <c r="H5" s="22">
        <f>79.2+7.2+180+35</f>
        <v>301.39999999999998</v>
      </c>
      <c r="I5" s="21">
        <v>40</v>
      </c>
      <c r="J5" s="22">
        <v>136</v>
      </c>
      <c r="K5" s="72">
        <f>18+2+3*8</f>
        <v>44</v>
      </c>
      <c r="L5" s="73">
        <f>80+7.2+64.8</f>
        <v>152</v>
      </c>
      <c r="M5" s="21">
        <v>7</v>
      </c>
      <c r="N5" s="22">
        <v>23.8</v>
      </c>
      <c r="O5" s="21">
        <f>22+2*5+3*14+1</f>
        <v>75</v>
      </c>
      <c r="P5" s="22">
        <f>79.2+36+140+3.1+15</f>
        <v>273.3</v>
      </c>
      <c r="Q5" s="21"/>
      <c r="R5" s="22">
        <v>102</v>
      </c>
      <c r="S5" s="21">
        <f>4*12+2*2+3*13</f>
        <v>91</v>
      </c>
      <c r="T5" s="22">
        <f>43.2+14.4+130</f>
        <v>187.6</v>
      </c>
      <c r="U5" s="21"/>
      <c r="V5" s="22">
        <v>40.799999999999997</v>
      </c>
      <c r="W5" s="21">
        <f>15+2*5+3*15</f>
        <v>70</v>
      </c>
      <c r="X5" s="2">
        <f>54+36+150</f>
        <v>240</v>
      </c>
      <c r="Y5" s="21">
        <v>49</v>
      </c>
      <c r="Z5" s="22">
        <v>156.4</v>
      </c>
      <c r="AA5" s="21">
        <f>9+2*2+3*12</f>
        <v>49</v>
      </c>
      <c r="AB5" s="22">
        <f>32.4+14.4+112.95</f>
        <v>159.75</v>
      </c>
      <c r="AC5" s="21">
        <v>19</v>
      </c>
      <c r="AD5" s="22">
        <v>64.599999999999994</v>
      </c>
      <c r="AE5" s="21">
        <f>10+2+15</f>
        <v>27</v>
      </c>
      <c r="AF5" s="22">
        <v>100</v>
      </c>
      <c r="AG5" s="21">
        <v>16</v>
      </c>
      <c r="AH5" s="22">
        <v>34</v>
      </c>
      <c r="AI5" s="21">
        <f>11+2*6+15*3</f>
        <v>68</v>
      </c>
      <c r="AJ5" s="22">
        <f>39.6+43.2+150</f>
        <v>232.8</v>
      </c>
      <c r="AK5" s="21">
        <v>46</v>
      </c>
      <c r="AL5" s="22">
        <v>88.4</v>
      </c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2447.25</v>
      </c>
      <c r="AY5" s="22">
        <f t="shared" si="1"/>
        <v>2319.668246445498</v>
      </c>
    </row>
    <row r="6" spans="1:51" x14ac:dyDescent="0.25">
      <c r="A6" s="19" t="s">
        <v>226</v>
      </c>
      <c r="B6" s="20" t="s">
        <v>26</v>
      </c>
      <c r="C6" s="21"/>
      <c r="D6" s="22"/>
      <c r="E6" s="21">
        <v>14</v>
      </c>
      <c r="F6" s="22">
        <v>26</v>
      </c>
      <c r="G6" s="21">
        <f>20+27</f>
        <v>47</v>
      </c>
      <c r="H6" s="22">
        <f>70+90+15</f>
        <v>175</v>
      </c>
      <c r="I6" s="21">
        <v>30</v>
      </c>
      <c r="J6" s="22">
        <v>93</v>
      </c>
      <c r="K6" s="72">
        <f>32+7*3</f>
        <v>53</v>
      </c>
      <c r="L6" s="73">
        <f>70+112</f>
        <v>182</v>
      </c>
      <c r="M6" s="21">
        <v>8</v>
      </c>
      <c r="N6" s="22">
        <v>24.5</v>
      </c>
      <c r="O6" s="21">
        <f>28+3*6</f>
        <v>46</v>
      </c>
      <c r="P6" s="22">
        <f>98+60+5</f>
        <v>163</v>
      </c>
      <c r="Q6" s="21"/>
      <c r="R6" s="22">
        <v>92</v>
      </c>
      <c r="S6" s="21">
        <f>34+3*10</f>
        <v>64</v>
      </c>
      <c r="T6" s="22">
        <f>119+100</f>
        <v>219</v>
      </c>
      <c r="U6" s="21"/>
      <c r="V6" s="22">
        <v>52</v>
      </c>
      <c r="W6" s="21">
        <f>3*9+13</f>
        <v>40</v>
      </c>
      <c r="X6" s="22">
        <f>90+45.5</f>
        <v>135.5</v>
      </c>
      <c r="Y6" s="21">
        <v>29</v>
      </c>
      <c r="Z6" s="22">
        <f>55.8+6</f>
        <v>61.8</v>
      </c>
      <c r="AA6" s="21">
        <f>3+3*1</f>
        <v>6</v>
      </c>
      <c r="AB6" s="22">
        <f>10.5+10</f>
        <v>20.5</v>
      </c>
      <c r="AC6" s="21">
        <v>10</v>
      </c>
      <c r="AD6" s="22">
        <v>31</v>
      </c>
      <c r="AE6" s="21">
        <f>13+24</f>
        <v>37</v>
      </c>
      <c r="AF6" s="22">
        <v>150</v>
      </c>
      <c r="AG6" s="21">
        <v>10</v>
      </c>
      <c r="AH6" s="22">
        <v>62</v>
      </c>
      <c r="AI6" s="72">
        <f>27+3*4</f>
        <v>39</v>
      </c>
      <c r="AJ6" s="22">
        <f>94.5+40</f>
        <v>134.5</v>
      </c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1621.8</v>
      </c>
      <c r="AY6" s="22">
        <f t="shared" si="1"/>
        <v>1537.2511848341233</v>
      </c>
    </row>
    <row r="7" spans="1:51" x14ac:dyDescent="0.25">
      <c r="A7" s="19" t="s">
        <v>28</v>
      </c>
      <c r="B7" s="20" t="s">
        <v>26</v>
      </c>
      <c r="C7" s="21"/>
      <c r="D7" s="22"/>
      <c r="E7" s="21"/>
      <c r="F7" s="22"/>
      <c r="G7" s="21">
        <v>2</v>
      </c>
      <c r="H7" s="22">
        <v>30</v>
      </c>
      <c r="I7" s="21"/>
      <c r="J7" s="22">
        <v>2.94</v>
      </c>
      <c r="K7" s="72">
        <v>2</v>
      </c>
      <c r="L7" s="73">
        <f>21+52</f>
        <v>73</v>
      </c>
      <c r="M7" s="21"/>
      <c r="N7" s="22"/>
      <c r="O7" s="21">
        <v>20</v>
      </c>
      <c r="P7" s="22">
        <f>31.5+70.38+9</f>
        <v>110.88</v>
      </c>
      <c r="Q7" s="21"/>
      <c r="R7" s="22"/>
      <c r="S7" s="21">
        <v>6</v>
      </c>
      <c r="T7" s="22">
        <v>63</v>
      </c>
      <c r="U7" s="21"/>
      <c r="V7" s="22"/>
      <c r="W7" s="21">
        <v>6</v>
      </c>
      <c r="X7" s="22">
        <f>63+3.54</f>
        <v>66.540000000000006</v>
      </c>
      <c r="Y7" s="21"/>
      <c r="Z7" s="22"/>
      <c r="AA7" s="21">
        <v>4</v>
      </c>
      <c r="AB7" s="22">
        <v>42</v>
      </c>
      <c r="AC7" s="21"/>
      <c r="AD7" s="22">
        <v>16</v>
      </c>
      <c r="AE7" s="21">
        <v>4</v>
      </c>
      <c r="AF7" s="22">
        <v>50</v>
      </c>
      <c r="AG7" s="21">
        <v>32</v>
      </c>
      <c r="AH7" s="22">
        <v>57</v>
      </c>
      <c r="AI7" s="24">
        <v>2</v>
      </c>
      <c r="AJ7" s="22">
        <v>21</v>
      </c>
      <c r="AK7" s="21">
        <v>25</v>
      </c>
      <c r="AL7" s="22">
        <v>71.3</v>
      </c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603.66000000000008</v>
      </c>
      <c r="AY7" s="22">
        <f t="shared" si="1"/>
        <v>572.1895734597158</v>
      </c>
    </row>
    <row r="8" spans="1:51" x14ac:dyDescent="0.25">
      <c r="A8" s="19" t="s">
        <v>29</v>
      </c>
      <c r="B8" s="20" t="s">
        <v>26</v>
      </c>
      <c r="C8" s="21">
        <v>31</v>
      </c>
      <c r="D8" s="22">
        <f>108.5+2</f>
        <v>110.5</v>
      </c>
      <c r="E8" s="21"/>
      <c r="F8" s="22">
        <v>24</v>
      </c>
      <c r="G8" s="21"/>
      <c r="H8" s="22">
        <v>15</v>
      </c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>
        <v>30.48</v>
      </c>
      <c r="AC8" s="21"/>
      <c r="AD8" s="22"/>
      <c r="AE8" s="21"/>
      <c r="AF8" s="22"/>
      <c r="AG8" s="21"/>
      <c r="AH8" s="22">
        <v>28</v>
      </c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207.98000000000002</v>
      </c>
      <c r="AY8" s="22">
        <f t="shared" si="1"/>
        <v>197.13744075829388</v>
      </c>
    </row>
    <row r="9" spans="1:51" x14ac:dyDescent="0.25">
      <c r="A9" s="19" t="s">
        <v>102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104</v>
      </c>
      <c r="B10" s="20" t="s">
        <v>26</v>
      </c>
      <c r="C10" s="21"/>
      <c r="D10" s="22"/>
      <c r="E10" s="21"/>
      <c r="F10" s="22"/>
      <c r="G10" s="21"/>
      <c r="H10" s="22"/>
      <c r="I10" s="21"/>
      <c r="J10" s="22"/>
      <c r="K10" s="85"/>
      <c r="L10" s="73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0</v>
      </c>
      <c r="AY10" s="22">
        <f t="shared" si="1"/>
        <v>0</v>
      </c>
    </row>
    <row r="11" spans="1:51" x14ac:dyDescent="0.25">
      <c r="A11" s="19" t="s">
        <v>31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72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>
        <v>3</v>
      </c>
      <c r="AL11" s="22">
        <v>9</v>
      </c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9</v>
      </c>
      <c r="AY11" s="22">
        <f t="shared" si="1"/>
        <v>8.5308056872037916</v>
      </c>
    </row>
    <row r="12" spans="1:51" x14ac:dyDescent="0.25">
      <c r="A12" s="19" t="s">
        <v>103</v>
      </c>
      <c r="B12" s="20" t="s">
        <v>26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1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>
        <v>20</v>
      </c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20</v>
      </c>
      <c r="AY12" s="22">
        <f t="shared" si="1"/>
        <v>18.957345971563981</v>
      </c>
    </row>
    <row r="13" spans="1:51" x14ac:dyDescent="0.25">
      <c r="A13" s="19" t="s">
        <v>32</v>
      </c>
      <c r="B13" s="20" t="s">
        <v>106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>
        <v>20.399999999999999</v>
      </c>
      <c r="O13" s="25">
        <v>11</v>
      </c>
      <c r="P13" s="22">
        <v>66</v>
      </c>
      <c r="Q13" s="21"/>
      <c r="R13" s="22">
        <f>81.88+23</f>
        <v>104.88</v>
      </c>
      <c r="S13" s="99">
        <v>11</v>
      </c>
      <c r="T13" s="22">
        <f>66+75.5</f>
        <v>141.5</v>
      </c>
      <c r="U13" s="99"/>
      <c r="V13" s="22">
        <f>104.72+20</f>
        <v>124.72</v>
      </c>
      <c r="W13" s="99"/>
      <c r="X13" s="22"/>
      <c r="Y13" s="99"/>
      <c r="Z13" s="22">
        <v>77.709999999999994</v>
      </c>
      <c r="AA13" s="99"/>
      <c r="AB13" s="22"/>
      <c r="AC13" s="100"/>
      <c r="AD13" s="22">
        <v>59</v>
      </c>
      <c r="AE13" s="99"/>
      <c r="AF13" s="22"/>
      <c r="AG13" s="21"/>
      <c r="AH13" s="22">
        <v>75.150000000000006</v>
      </c>
      <c r="AI13" s="21"/>
      <c r="AJ13" s="22"/>
      <c r="AK13" s="21"/>
      <c r="AL13" s="22">
        <v>163.25</v>
      </c>
      <c r="AM13" s="21"/>
      <c r="AN13" s="22"/>
      <c r="AO13" s="21"/>
      <c r="AP13" s="22"/>
      <c r="AQ13" s="21"/>
      <c r="AR13" s="22"/>
      <c r="AS13" s="21"/>
      <c r="AT13" s="22"/>
      <c r="AU13" s="21"/>
      <c r="AV13" s="22"/>
      <c r="AW13"/>
      <c r="AX13" s="74">
        <f t="shared" si="0"/>
        <v>832.6099999999999</v>
      </c>
      <c r="AY13" s="22">
        <f t="shared" si="1"/>
        <v>789.20379146919424</v>
      </c>
    </row>
    <row r="14" spans="1:51" x14ac:dyDescent="0.25">
      <c r="A14" s="19" t="s">
        <v>107</v>
      </c>
      <c r="B14" s="20" t="s">
        <v>34</v>
      </c>
      <c r="C14" s="21"/>
      <c r="D14" s="22"/>
      <c r="E14" s="21"/>
      <c r="F14" s="22"/>
      <c r="G14" s="21"/>
      <c r="H14" s="22"/>
      <c r="I14" s="21"/>
      <c r="J14" s="22"/>
      <c r="K14" s="85"/>
      <c r="L14" s="73"/>
      <c r="M14" s="21"/>
      <c r="N14" s="22"/>
      <c r="O14" s="25"/>
      <c r="P14" s="22"/>
      <c r="Q14" s="25"/>
      <c r="R14" s="22"/>
      <c r="S14" s="99">
        <v>26.22</v>
      </c>
      <c r="T14" s="22">
        <v>288.52</v>
      </c>
      <c r="U14" s="99"/>
      <c r="V14" s="22"/>
      <c r="W14" s="99">
        <v>18.79</v>
      </c>
      <c r="X14" s="22">
        <v>206.8</v>
      </c>
      <c r="Y14" s="99"/>
      <c r="Z14" s="22"/>
      <c r="AA14" s="99"/>
      <c r="AB14" s="22"/>
      <c r="AC14" s="100"/>
      <c r="AD14" s="22"/>
      <c r="AE14" s="99">
        <v>31.555</v>
      </c>
      <c r="AF14" s="22">
        <v>339</v>
      </c>
      <c r="AG14" s="25"/>
      <c r="AH14" s="22"/>
      <c r="AI14" s="21">
        <v>21.465</v>
      </c>
      <c r="AJ14" s="22">
        <v>203.94</v>
      </c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1038.26</v>
      </c>
      <c r="AY14" s="22">
        <f t="shared" si="1"/>
        <v>984.13270142180102</v>
      </c>
    </row>
    <row r="15" spans="1:51" x14ac:dyDescent="0.25">
      <c r="A15" s="19" t="s">
        <v>108</v>
      </c>
      <c r="B15" s="20" t="s">
        <v>109</v>
      </c>
      <c r="C15" s="21"/>
      <c r="D15" s="22"/>
      <c r="E15" s="21"/>
      <c r="F15" s="22"/>
      <c r="G15" s="21"/>
      <c r="H15" s="22"/>
      <c r="I15" s="25"/>
      <c r="J15" s="22"/>
      <c r="K15" s="85"/>
      <c r="L15" s="73"/>
      <c r="M15" s="21"/>
      <c r="N15" s="22"/>
      <c r="O15" s="21"/>
      <c r="P15" s="22"/>
      <c r="Q15" s="25"/>
      <c r="R15" s="22"/>
      <c r="S15" s="21"/>
      <c r="T15" s="22"/>
      <c r="U15" s="25"/>
      <c r="V15" s="22"/>
      <c r="W15" s="21"/>
      <c r="X15" s="22"/>
      <c r="Y15" s="21"/>
      <c r="Z15" s="22"/>
      <c r="AA15" s="25"/>
      <c r="AB15" s="22"/>
      <c r="AC15" s="21"/>
      <c r="AD15" s="22"/>
      <c r="AE15" s="21"/>
      <c r="AF15" s="22"/>
      <c r="AG15" s="25"/>
      <c r="AH15" s="22"/>
      <c r="AI15" s="21"/>
      <c r="AJ15" s="22"/>
      <c r="AK15" s="25"/>
      <c r="AL15" s="22"/>
      <c r="AM15" s="21"/>
      <c r="AN15" s="22"/>
      <c r="AO15" s="25"/>
      <c r="AP15" s="22"/>
      <c r="AQ15" s="21"/>
      <c r="AR15" s="22"/>
      <c r="AS15" s="21"/>
      <c r="AT15" s="22"/>
      <c r="AU15" s="25"/>
      <c r="AV15" s="22"/>
      <c r="AW15"/>
      <c r="AX15" s="74">
        <f t="shared" si="0"/>
        <v>0</v>
      </c>
      <c r="AY15" s="22">
        <f t="shared" si="1"/>
        <v>0</v>
      </c>
    </row>
    <row r="16" spans="1:51" x14ac:dyDescent="0.25">
      <c r="A16" s="19" t="s">
        <v>33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5" x14ac:dyDescent="0.25">
      <c r="A17" s="19" t="s">
        <v>35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  <c r="BC17">
        <v>2</v>
      </c>
    </row>
    <row r="18" spans="1:55" x14ac:dyDescent="0.25">
      <c r="A18" s="19" t="s">
        <v>36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0</v>
      </c>
      <c r="AY18" s="22">
        <f t="shared" si="1"/>
        <v>0</v>
      </c>
    </row>
    <row r="19" spans="1:55" x14ac:dyDescent="0.25">
      <c r="A19" s="19" t="s">
        <v>37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0</v>
      </c>
      <c r="AY19" s="22">
        <f t="shared" si="1"/>
        <v>0</v>
      </c>
    </row>
    <row r="20" spans="1:55" x14ac:dyDescent="0.25">
      <c r="A20" s="19" t="s">
        <v>38</v>
      </c>
      <c r="B20" s="20" t="s">
        <v>34</v>
      </c>
      <c r="C20" s="25"/>
      <c r="D20" s="22"/>
      <c r="E20" s="25"/>
      <c r="F20" s="22"/>
      <c r="G20" s="25"/>
      <c r="H20" s="22"/>
      <c r="I20" s="25"/>
      <c r="J20" s="22"/>
      <c r="K20" s="85"/>
      <c r="L20" s="73"/>
      <c r="M20" s="25"/>
      <c r="N20" s="22"/>
      <c r="O20" s="25"/>
      <c r="P20" s="22"/>
      <c r="Q20" s="25"/>
      <c r="R20" s="22"/>
      <c r="S20" s="25"/>
      <c r="T20" s="22"/>
      <c r="U20" s="25"/>
      <c r="V20" s="22"/>
      <c r="W20" s="25"/>
      <c r="X20" s="22"/>
      <c r="Y20" s="25"/>
      <c r="Z20" s="22"/>
      <c r="AA20" s="25"/>
      <c r="AB20" s="22"/>
      <c r="AC20" s="25"/>
      <c r="AD20" s="22"/>
      <c r="AE20" s="25"/>
      <c r="AF20" s="22"/>
      <c r="AG20" s="25"/>
      <c r="AH20" s="22"/>
      <c r="AI20" s="25"/>
      <c r="AJ20" s="22"/>
      <c r="AK20" s="25"/>
      <c r="AL20" s="22"/>
      <c r="AM20" s="25"/>
      <c r="AN20" s="22"/>
      <c r="AO20" s="25"/>
      <c r="AP20" s="22"/>
      <c r="AQ20" s="25"/>
      <c r="AR20" s="22"/>
      <c r="AS20" s="25"/>
      <c r="AT20" s="22"/>
      <c r="AU20" s="25"/>
      <c r="AV20" s="22"/>
      <c r="AW20"/>
      <c r="AX20" s="74">
        <f t="shared" si="0"/>
        <v>0</v>
      </c>
      <c r="AY20" s="22">
        <f t="shared" si="1"/>
        <v>0</v>
      </c>
    </row>
    <row r="21" spans="1:55" x14ac:dyDescent="0.25">
      <c r="A21" s="19" t="s">
        <v>39</v>
      </c>
      <c r="B21" s="20" t="s">
        <v>34</v>
      </c>
      <c r="C21"/>
      <c r="D21" s="22"/>
      <c r="E21"/>
      <c r="F21" s="22"/>
      <c r="G21"/>
      <c r="H21" s="22"/>
      <c r="I21"/>
      <c r="J21" s="22"/>
      <c r="K21" s="85"/>
      <c r="L21" s="22"/>
      <c r="M21"/>
      <c r="N21" s="22"/>
      <c r="O21"/>
      <c r="P21" s="22"/>
      <c r="Q21"/>
      <c r="R21" s="22"/>
      <c r="S21"/>
      <c r="T21" s="22"/>
      <c r="U21"/>
      <c r="V21" s="22"/>
      <c r="W21"/>
      <c r="X21" s="22"/>
      <c r="Y21"/>
      <c r="Z21" s="22"/>
      <c r="AA21"/>
      <c r="AB21" s="22"/>
      <c r="AC21"/>
      <c r="AD21" s="22"/>
      <c r="AE21"/>
      <c r="AF21" s="22"/>
      <c r="AG21"/>
      <c r="AH21" s="22"/>
      <c r="AI21"/>
      <c r="AJ21" s="22"/>
      <c r="AK21"/>
      <c r="AL21" s="22"/>
      <c r="AM21"/>
      <c r="AN21" s="22"/>
      <c r="AO21"/>
      <c r="AP21" s="22"/>
      <c r="AQ21"/>
      <c r="AR21" s="22"/>
      <c r="AS21"/>
      <c r="AT21" s="22"/>
      <c r="AU21"/>
      <c r="AV21" s="22"/>
      <c r="AW21"/>
      <c r="AX21" s="74">
        <f t="shared" si="0"/>
        <v>0</v>
      </c>
      <c r="AY21" s="22">
        <f t="shared" si="1"/>
        <v>0</v>
      </c>
    </row>
    <row r="22" spans="1:55" x14ac:dyDescent="0.25">
      <c r="A22" s="19" t="s">
        <v>40</v>
      </c>
      <c r="B22" s="20" t="s">
        <v>34</v>
      </c>
      <c r="C22" s="25"/>
      <c r="D22" s="22"/>
      <c r="E22" s="25"/>
      <c r="F22" s="22"/>
      <c r="G22" s="25"/>
      <c r="H22" s="22"/>
      <c r="I22" s="25"/>
      <c r="J22" s="22"/>
      <c r="K22" s="85"/>
      <c r="L22" s="73"/>
      <c r="M22" s="25"/>
      <c r="N22" s="22"/>
      <c r="O22" s="25"/>
      <c r="P22" s="22"/>
      <c r="Q22" s="25"/>
      <c r="R22" s="22"/>
      <c r="S22" s="25"/>
      <c r="T22" s="22"/>
      <c r="U22" s="25"/>
      <c r="V22" s="22"/>
      <c r="W22" s="25"/>
      <c r="X22" s="22"/>
      <c r="Y22" s="25"/>
      <c r="Z22" s="22"/>
      <c r="AA22" s="25"/>
      <c r="AB22" s="22"/>
      <c r="AC22" s="25"/>
      <c r="AD22" s="22"/>
      <c r="AE22" s="25"/>
      <c r="AF22" s="22"/>
      <c r="AG22" s="25"/>
      <c r="AH22" s="22"/>
      <c r="AI22" s="25"/>
      <c r="AJ22" s="22"/>
      <c r="AK22" s="25"/>
      <c r="AL22" s="22"/>
      <c r="AM22" s="25"/>
      <c r="AN22" s="22"/>
      <c r="AO22" s="25"/>
      <c r="AP22" s="22"/>
      <c r="AQ22" s="25"/>
      <c r="AR22" s="22"/>
      <c r="AS22" s="25"/>
      <c r="AT22" s="22"/>
      <c r="AU22" s="25"/>
      <c r="AV22" s="22"/>
      <c r="AW22"/>
      <c r="AX22" s="74">
        <f t="shared" si="0"/>
        <v>0</v>
      </c>
      <c r="AY22" s="22">
        <f t="shared" si="1"/>
        <v>0</v>
      </c>
    </row>
    <row r="23" spans="1:55" x14ac:dyDescent="0.25">
      <c r="A23" s="19" t="s">
        <v>30</v>
      </c>
      <c r="B23" s="20" t="s">
        <v>26</v>
      </c>
      <c r="C23" s="21"/>
      <c r="D23" s="22"/>
      <c r="E23" s="21"/>
      <c r="F23" s="22"/>
      <c r="G23" s="21"/>
      <c r="H23" s="22"/>
      <c r="I23" s="21"/>
      <c r="J23" s="22"/>
      <c r="K23" s="72"/>
      <c r="L23" s="73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>
        <v>1</v>
      </c>
      <c r="AL23" s="22">
        <v>3</v>
      </c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3</v>
      </c>
      <c r="AY23" s="22">
        <f t="shared" si="1"/>
        <v>2.8436018957345972</v>
      </c>
    </row>
    <row r="24" spans="1:55" x14ac:dyDescent="0.25">
      <c r="A24" s="19" t="s">
        <v>105</v>
      </c>
      <c r="B24" s="20" t="s">
        <v>26</v>
      </c>
      <c r="C24" s="21"/>
      <c r="D24" s="22"/>
      <c r="E24" s="21"/>
      <c r="F24" s="22"/>
      <c r="G24" s="21"/>
      <c r="H24" s="22"/>
      <c r="I24" s="21"/>
      <c r="J24" s="22"/>
      <c r="K24" s="85"/>
      <c r="L24" s="73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2"/>
      <c r="AO24" s="21"/>
      <c r="AP24" s="22"/>
      <c r="AQ24" s="21"/>
      <c r="AR24" s="22"/>
      <c r="AS24" s="21"/>
      <c r="AT24" s="22"/>
      <c r="AU24" s="21"/>
      <c r="AV24" s="22"/>
      <c r="AW24"/>
      <c r="AX24" s="74">
        <f t="shared" si="0"/>
        <v>0</v>
      </c>
      <c r="AY24" s="22">
        <f t="shared" si="1"/>
        <v>0</v>
      </c>
    </row>
    <row r="25" spans="1:55" x14ac:dyDescent="0.25">
      <c r="A25" s="19" t="s">
        <v>41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0</v>
      </c>
      <c r="AY25" s="22">
        <f t="shared" si="1"/>
        <v>0</v>
      </c>
    </row>
    <row r="26" spans="1:55" x14ac:dyDescent="0.25">
      <c r="A26" s="19" t="s">
        <v>42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85"/>
      <c r="L26" s="73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0</v>
      </c>
      <c r="AY26" s="22">
        <f t="shared" si="1"/>
        <v>0</v>
      </c>
    </row>
    <row r="27" spans="1:55" x14ac:dyDescent="0.25">
      <c r="A27" s="19" t="s">
        <v>43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>
        <v>2</v>
      </c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2</v>
      </c>
      <c r="AY27" s="22">
        <f t="shared" si="1"/>
        <v>1.8957345971563981</v>
      </c>
    </row>
    <row r="28" spans="1:55" x14ac:dyDescent="0.25">
      <c r="A28" s="19" t="s">
        <v>44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5" x14ac:dyDescent="0.25">
      <c r="A29" s="19" t="s">
        <v>179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5" x14ac:dyDescent="0.25">
      <c r="A30" s="19" t="s">
        <v>180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85"/>
      <c r="L30" s="73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0</v>
      </c>
      <c r="AY30" s="22">
        <f t="shared" si="1"/>
        <v>0</v>
      </c>
    </row>
    <row r="31" spans="1:55" x14ac:dyDescent="0.25">
      <c r="A31" s="19" t="s">
        <v>191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5" x14ac:dyDescent="0.25">
      <c r="A32" s="19" t="s">
        <v>201</v>
      </c>
      <c r="B32" s="20" t="s">
        <v>26</v>
      </c>
      <c r="C32" s="25"/>
      <c r="D32" s="22"/>
      <c r="E32" s="25"/>
      <c r="F32" s="22"/>
      <c r="G32" s="21"/>
      <c r="H32" s="22"/>
      <c r="I32" s="25"/>
      <c r="J32" s="22"/>
      <c r="K32" s="85"/>
      <c r="L32" s="73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0</v>
      </c>
      <c r="AY32" s="22">
        <f t="shared" si="1"/>
        <v>0</v>
      </c>
    </row>
    <row r="33" spans="1:52" x14ac:dyDescent="0.25">
      <c r="A33" s="19" t="s">
        <v>202</v>
      </c>
      <c r="B33" s="20" t="s">
        <v>34</v>
      </c>
      <c r="C33" s="25"/>
      <c r="D33" s="22"/>
      <c r="E33" s="25"/>
      <c r="F33" s="22"/>
      <c r="G33" s="25"/>
      <c r="H33" s="22"/>
      <c r="I33" s="25"/>
      <c r="J33" s="22"/>
      <c r="K33" s="85"/>
      <c r="L33" s="73"/>
      <c r="M33" s="25"/>
      <c r="N33" s="22"/>
      <c r="O33" s="25"/>
      <c r="P33" s="22"/>
      <c r="Q33" s="25"/>
      <c r="R33" s="22">
        <v>1</v>
      </c>
      <c r="S33" s="25"/>
      <c r="T33" s="22"/>
      <c r="U33" s="25"/>
      <c r="V33" s="22">
        <v>3</v>
      </c>
      <c r="W33" s="25"/>
      <c r="X33" s="22"/>
      <c r="Y33" s="25"/>
      <c r="Z33" s="22">
        <v>4</v>
      </c>
      <c r="AA33" s="25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U33" s="25"/>
      <c r="AV33" s="22"/>
      <c r="AW33"/>
      <c r="AX33" s="74">
        <f t="shared" si="0"/>
        <v>8</v>
      </c>
      <c r="AY33" s="22">
        <f t="shared" si="1"/>
        <v>7.5829383886255926</v>
      </c>
      <c r="AZ33" s="2">
        <f>SUM(AX4:AX33)</f>
        <v>12024.86</v>
      </c>
    </row>
    <row r="34" spans="1:52" s="18" customFormat="1" x14ac:dyDescent="0.25">
      <c r="A34" s="12" t="s">
        <v>46</v>
      </c>
      <c r="B34" s="13"/>
      <c r="C34" s="14"/>
      <c r="D34" s="15">
        <f>SUM(D35:D53)</f>
        <v>6.61</v>
      </c>
      <c r="E34" s="14"/>
      <c r="F34" s="15">
        <f>SUM(F35:F53)</f>
        <v>66</v>
      </c>
      <c r="G34" s="14"/>
      <c r="H34" s="15">
        <f>SUM(H35:H53)</f>
        <v>0</v>
      </c>
      <c r="I34" s="14"/>
      <c r="J34" s="15">
        <f>SUM(J35:J53)</f>
        <v>50.96</v>
      </c>
      <c r="K34" s="70"/>
      <c r="L34" s="70">
        <f>SUM(L35:L53)</f>
        <v>4.8899999999999997</v>
      </c>
      <c r="M34" s="14"/>
      <c r="N34" s="15">
        <f>SUM(N35:N53)</f>
        <v>61.32</v>
      </c>
      <c r="O34" s="14"/>
      <c r="P34" s="15">
        <f>SUM(P35:P53)</f>
        <v>0</v>
      </c>
      <c r="Q34" s="14"/>
      <c r="R34" s="15">
        <f>SUM(R35:R53)</f>
        <v>22.51</v>
      </c>
      <c r="S34" s="14"/>
      <c r="T34" s="15">
        <f>SUM(T35:T53)</f>
        <v>0</v>
      </c>
      <c r="U34" s="14"/>
      <c r="V34" s="15">
        <f>SUM(V35:V53)</f>
        <v>23.450000000000003</v>
      </c>
      <c r="W34" s="14"/>
      <c r="X34" s="15">
        <f>SUM(X35:X53)</f>
        <v>26</v>
      </c>
      <c r="Y34" s="14"/>
      <c r="Z34" s="15">
        <f>SUM(Z35:Z53)</f>
        <v>24.87</v>
      </c>
      <c r="AA34" s="14"/>
      <c r="AB34" s="15">
        <f>SUM(AB35:AB53)</f>
        <v>0</v>
      </c>
      <c r="AC34" s="14"/>
      <c r="AD34" s="15">
        <f>SUM(AD35:AD53)</f>
        <v>30.25</v>
      </c>
      <c r="AE34" s="14"/>
      <c r="AF34" s="15">
        <f>SUM(AF35:AF53)</f>
        <v>0</v>
      </c>
      <c r="AG34" s="14"/>
      <c r="AH34" s="15">
        <f>SUM(AH35:AH53)</f>
        <v>10.050000000000001</v>
      </c>
      <c r="AI34" s="14"/>
      <c r="AJ34" s="15">
        <f>SUM(AJ35:AJ53)</f>
        <v>0</v>
      </c>
      <c r="AK34" s="14"/>
      <c r="AL34" s="15">
        <f>SUM(AL35:AL53)</f>
        <v>20.11</v>
      </c>
      <c r="AM34" s="14"/>
      <c r="AN34" s="15">
        <f>SUM(AN35:AN53)</f>
        <v>0</v>
      </c>
      <c r="AO34" s="14"/>
      <c r="AP34" s="15">
        <f>SUM(AP35:AP53)</f>
        <v>0</v>
      </c>
      <c r="AQ34" s="14"/>
      <c r="AR34" s="15">
        <f>SUM(AR35:AR53)</f>
        <v>0</v>
      </c>
      <c r="AS34" s="14"/>
      <c r="AT34" s="15">
        <f>SUM(AT35:AT53)</f>
        <v>0</v>
      </c>
      <c r="AU34" s="14"/>
      <c r="AV34" s="15">
        <f>SUM(AV35:AV53)</f>
        <v>0</v>
      </c>
      <c r="AX34" s="71">
        <f t="shared" si="0"/>
        <v>347.02</v>
      </c>
      <c r="AY34" s="15">
        <f t="shared" si="1"/>
        <v>328.92890995260666</v>
      </c>
    </row>
    <row r="35" spans="1:52" x14ac:dyDescent="0.25">
      <c r="A35" s="19" t="s">
        <v>47</v>
      </c>
      <c r="B35" s="20" t="s">
        <v>34</v>
      </c>
      <c r="C35" s="25"/>
      <c r="D35" s="22"/>
      <c r="E35" s="25"/>
      <c r="F35" s="22"/>
      <c r="G35" s="25"/>
      <c r="H35" s="22"/>
      <c r="I35" s="25"/>
      <c r="J35" s="22"/>
      <c r="K35" s="25"/>
      <c r="L35" s="73"/>
      <c r="M35" s="25"/>
      <c r="N35" s="22"/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ref="AX35:AX68" si="2">SUM(AV35,AT35,AR35,AP35,AN35,AL35,AJ35,AH35,AF35,AD35,AB35,Z35,X35,V35,T35,R35,P35,N35,L35,J35,H35,F35,D35)</f>
        <v>0</v>
      </c>
      <c r="AY35" s="22">
        <f t="shared" ref="AY35:AY66" si="3">AX35/1.055</f>
        <v>0</v>
      </c>
    </row>
    <row r="36" spans="1:52" x14ac:dyDescent="0.25">
      <c r="A36" s="19" t="s">
        <v>48</v>
      </c>
      <c r="B36" s="20" t="s">
        <v>34</v>
      </c>
      <c r="C36" s="25"/>
      <c r="D36" s="22"/>
      <c r="E36" s="25"/>
      <c r="F36" s="22">
        <v>20</v>
      </c>
      <c r="G36" s="25"/>
      <c r="H36" s="22"/>
      <c r="I36" s="25"/>
      <c r="J36" s="22">
        <v>19.100000000000001</v>
      </c>
      <c r="K36" s="25"/>
      <c r="L36" s="73"/>
      <c r="M36" s="25"/>
      <c r="N36" s="22">
        <v>26.8</v>
      </c>
      <c r="O36" s="25"/>
      <c r="P36" s="22"/>
      <c r="Q36" s="25"/>
      <c r="R36" s="22">
        <v>10.1</v>
      </c>
      <c r="S36" s="21"/>
      <c r="T36" s="22"/>
      <c r="U36" s="25"/>
      <c r="V36" s="22">
        <f>4.19+3</f>
        <v>7.19</v>
      </c>
      <c r="W36" s="25"/>
      <c r="X36" s="22"/>
      <c r="Y36" s="25"/>
      <c r="Z36" s="22">
        <v>17.850000000000001</v>
      </c>
      <c r="AA36" s="21"/>
      <c r="AB36" s="22"/>
      <c r="AC36" s="25"/>
      <c r="AD36" s="22">
        <v>11.41</v>
      </c>
      <c r="AE36" s="25"/>
      <c r="AF36" s="22"/>
      <c r="AG36" s="25"/>
      <c r="AH36" s="22">
        <v>1.49</v>
      </c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113.94</v>
      </c>
      <c r="AY36" s="22">
        <f t="shared" si="3"/>
        <v>108</v>
      </c>
    </row>
    <row r="37" spans="1:52" x14ac:dyDescent="0.25">
      <c r="A37" s="19" t="s">
        <v>49</v>
      </c>
      <c r="B37" s="20" t="s">
        <v>34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2" x14ac:dyDescent="0.25">
      <c r="A38" s="19" t="s">
        <v>50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2" x14ac:dyDescent="0.25">
      <c r="A39" s="19" t="s">
        <v>51</v>
      </c>
      <c r="B39" s="20" t="s">
        <v>34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0</v>
      </c>
      <c r="AY39" s="22">
        <f t="shared" si="3"/>
        <v>0</v>
      </c>
    </row>
    <row r="40" spans="1:52" x14ac:dyDescent="0.25">
      <c r="A40" s="19" t="s">
        <v>208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0</v>
      </c>
      <c r="AY40" s="22">
        <f t="shared" si="3"/>
        <v>0</v>
      </c>
    </row>
    <row r="41" spans="1:52" x14ac:dyDescent="0.25">
      <c r="A41" s="19" t="s">
        <v>133</v>
      </c>
      <c r="B41" s="20" t="s">
        <v>53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2" x14ac:dyDescent="0.25">
      <c r="A42" s="19" t="s">
        <v>54</v>
      </c>
      <c r="B42" s="20" t="s">
        <v>55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2" x14ac:dyDescent="0.25">
      <c r="A43" s="19" t="s">
        <v>56</v>
      </c>
      <c r="B43" s="20" t="s">
        <v>34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2" x14ac:dyDescent="0.25">
      <c r="A44" s="19" t="s">
        <v>57</v>
      </c>
      <c r="B44" s="20" t="s">
        <v>53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2" x14ac:dyDescent="0.25">
      <c r="A45" s="19" t="s">
        <v>58</v>
      </c>
      <c r="B45" s="20" t="s">
        <v>34</v>
      </c>
      <c r="C45" s="25">
        <v>1.0249999999999999</v>
      </c>
      <c r="D45" s="22">
        <f>4.61+2</f>
        <v>6.61</v>
      </c>
      <c r="E45" s="25"/>
      <c r="F45" s="22">
        <v>10</v>
      </c>
      <c r="G45" s="25"/>
      <c r="H45" s="22"/>
      <c r="I45" s="25"/>
      <c r="J45" s="22">
        <v>4.4000000000000004</v>
      </c>
      <c r="K45" s="25">
        <v>1.085</v>
      </c>
      <c r="L45" s="73">
        <v>4.8899999999999997</v>
      </c>
      <c r="M45" s="25"/>
      <c r="N45" s="22">
        <v>7.32</v>
      </c>
      <c r="O45" s="25"/>
      <c r="P45" s="22"/>
      <c r="Q45" s="25"/>
      <c r="R45" s="22">
        <v>2.57</v>
      </c>
      <c r="S45" s="21"/>
      <c r="T45" s="22"/>
      <c r="U45" s="25"/>
      <c r="V45" s="22">
        <v>2.93</v>
      </c>
      <c r="W45" s="25"/>
      <c r="X45" s="22"/>
      <c r="Y45" s="25"/>
      <c r="Z45" s="22">
        <v>3.71</v>
      </c>
      <c r="AA45" s="21"/>
      <c r="AB45" s="22"/>
      <c r="AC45" s="25"/>
      <c r="AD45" s="22">
        <v>5.22</v>
      </c>
      <c r="AE45" s="25"/>
      <c r="AF45" s="22"/>
      <c r="AG45" s="25"/>
      <c r="AH45" s="22"/>
      <c r="AI45" s="25"/>
      <c r="AJ45" s="22"/>
      <c r="AK45" s="25"/>
      <c r="AL45" s="22">
        <v>2</v>
      </c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49.65</v>
      </c>
      <c r="AY45" s="22">
        <f t="shared" si="3"/>
        <v>47.061611374407583</v>
      </c>
    </row>
    <row r="46" spans="1:52" x14ac:dyDescent="0.25">
      <c r="A46" s="19" t="s">
        <v>110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>
        <v>7.59</v>
      </c>
      <c r="K46" s="25"/>
      <c r="L46" s="73"/>
      <c r="M46" s="25"/>
      <c r="N46" s="22"/>
      <c r="O46" s="25"/>
      <c r="P46" s="22"/>
      <c r="Q46" s="25"/>
      <c r="R46" s="22">
        <v>2.9</v>
      </c>
      <c r="S46" s="21"/>
      <c r="T46" s="22"/>
      <c r="U46" s="25"/>
      <c r="V46" s="22">
        <v>2.1</v>
      </c>
      <c r="W46" s="25"/>
      <c r="X46" s="22">
        <v>26</v>
      </c>
      <c r="Y46" s="25"/>
      <c r="Z46" s="22"/>
      <c r="AA46" s="21"/>
      <c r="AB46" s="22"/>
      <c r="AC46" s="25"/>
      <c r="AD46" s="22"/>
      <c r="AE46" s="25"/>
      <c r="AF46" s="22"/>
      <c r="AG46" s="25"/>
      <c r="AH46" s="22">
        <v>3.41</v>
      </c>
      <c r="AI46" s="25"/>
      <c r="AJ46" s="22"/>
      <c r="AK46" s="25"/>
      <c r="AL46" s="22">
        <v>5.57</v>
      </c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47.570000000000007</v>
      </c>
      <c r="AY46" s="22">
        <f t="shared" si="3"/>
        <v>45.090047393364941</v>
      </c>
    </row>
    <row r="47" spans="1:52" x14ac:dyDescent="0.25">
      <c r="A47" s="19" t="s">
        <v>111</v>
      </c>
      <c r="B47" s="20" t="s">
        <v>34</v>
      </c>
      <c r="C47" s="25"/>
      <c r="D47" s="22"/>
      <c r="E47" s="25"/>
      <c r="F47" s="22">
        <v>10</v>
      </c>
      <c r="G47" s="25"/>
      <c r="H47" s="22"/>
      <c r="I47" s="25"/>
      <c r="J47" s="22">
        <v>9.69</v>
      </c>
      <c r="K47" s="25"/>
      <c r="L47" s="73"/>
      <c r="M47" s="25"/>
      <c r="N47" s="22">
        <v>19.690000000000001</v>
      </c>
      <c r="O47" s="25"/>
      <c r="P47" s="22"/>
      <c r="Q47" s="25"/>
      <c r="R47" s="22">
        <v>0.89</v>
      </c>
      <c r="S47" s="21"/>
      <c r="T47" s="22"/>
      <c r="U47" s="25"/>
      <c r="V47" s="22">
        <v>11.23</v>
      </c>
      <c r="W47" s="25"/>
      <c r="X47" s="22"/>
      <c r="Y47" s="25"/>
      <c r="Z47" s="22">
        <v>3.31</v>
      </c>
      <c r="AA47" s="21"/>
      <c r="AB47" s="22"/>
      <c r="AC47" s="25"/>
      <c r="AD47" s="22">
        <v>7.52</v>
      </c>
      <c r="AE47" s="25"/>
      <c r="AF47" s="22"/>
      <c r="AG47" s="25"/>
      <c r="AH47" s="22">
        <v>4.1500000000000004</v>
      </c>
      <c r="AI47" s="25"/>
      <c r="AJ47" s="22"/>
      <c r="AK47" s="25"/>
      <c r="AL47" s="22">
        <v>12.54</v>
      </c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79.02</v>
      </c>
      <c r="AY47" s="22">
        <f t="shared" si="3"/>
        <v>74.900473933649295</v>
      </c>
    </row>
    <row r="48" spans="1:52" x14ac:dyDescent="0.25">
      <c r="A48" s="19" t="s">
        <v>112</v>
      </c>
      <c r="B48" s="20" t="s">
        <v>53</v>
      </c>
      <c r="C48" s="25"/>
      <c r="D48" s="22"/>
      <c r="E48" s="25"/>
      <c r="F48" s="22">
        <v>12</v>
      </c>
      <c r="G48" s="25"/>
      <c r="H48" s="22"/>
      <c r="I48" s="25"/>
      <c r="J48" s="22">
        <v>2</v>
      </c>
      <c r="K48" s="25"/>
      <c r="L48" s="73"/>
      <c r="M48" s="25"/>
      <c r="N48" s="22">
        <v>2.5099999999999998</v>
      </c>
      <c r="O48" s="25"/>
      <c r="P48" s="22"/>
      <c r="Q48" s="25"/>
      <c r="R48" s="22">
        <v>1.25</v>
      </c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17.759999999999998</v>
      </c>
      <c r="AY48" s="22">
        <f t="shared" si="3"/>
        <v>16.834123222748815</v>
      </c>
    </row>
    <row r="49" spans="1:53" x14ac:dyDescent="0.25">
      <c r="A49" s="19" t="s">
        <v>203</v>
      </c>
      <c r="B49" s="20" t="s">
        <v>34</v>
      </c>
      <c r="C49" s="25"/>
      <c r="D49" s="22"/>
      <c r="E49" s="25"/>
      <c r="F49" s="22"/>
      <c r="G49" s="25"/>
      <c r="H49" s="22"/>
      <c r="I49" s="25"/>
      <c r="J49" s="22"/>
      <c r="K49" s="25"/>
      <c r="L49" s="73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2"/>
        <v>0</v>
      </c>
      <c r="AY49" s="22">
        <f t="shared" si="3"/>
        <v>0</v>
      </c>
    </row>
    <row r="50" spans="1:53" x14ac:dyDescent="0.25">
      <c r="A50" s="19" t="s">
        <v>134</v>
      </c>
      <c r="B50" s="20" t="s">
        <v>34</v>
      </c>
      <c r="C50" s="25"/>
      <c r="D50" s="22"/>
      <c r="E50" s="25"/>
      <c r="F50" s="22"/>
      <c r="G50" s="25"/>
      <c r="H50" s="22"/>
      <c r="I50" s="25"/>
      <c r="J50" s="22"/>
      <c r="K50" s="25"/>
      <c r="L50" s="73"/>
      <c r="M50" s="25"/>
      <c r="N50" s="22"/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0</v>
      </c>
      <c r="AY50" s="22">
        <f t="shared" si="3"/>
        <v>0</v>
      </c>
    </row>
    <row r="51" spans="1:53" x14ac:dyDescent="0.25">
      <c r="A51" s="19" t="s">
        <v>204</v>
      </c>
      <c r="B51" s="20" t="s">
        <v>34</v>
      </c>
      <c r="C51" s="25"/>
      <c r="D51" s="22"/>
      <c r="E51" s="25"/>
      <c r="F51" s="22"/>
      <c r="G51" s="25"/>
      <c r="H51" s="22"/>
      <c r="I51" s="25"/>
      <c r="J51" s="22">
        <v>6.18</v>
      </c>
      <c r="K51" s="25"/>
      <c r="L51" s="73"/>
      <c r="M51" s="25"/>
      <c r="N51" s="22"/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6.18</v>
      </c>
      <c r="AY51" s="22">
        <f t="shared" si="3"/>
        <v>5.8578199052132698</v>
      </c>
    </row>
    <row r="52" spans="1:53" x14ac:dyDescent="0.25">
      <c r="A52" s="19" t="s">
        <v>220</v>
      </c>
      <c r="B52" s="20" t="s">
        <v>34</v>
      </c>
      <c r="C52" s="25"/>
      <c r="D52" s="22"/>
      <c r="E52" s="25"/>
      <c r="F52" s="22">
        <v>7</v>
      </c>
      <c r="G52" s="25"/>
      <c r="H52" s="22"/>
      <c r="I52" s="25"/>
      <c r="J52" s="22"/>
      <c r="K52" s="25"/>
      <c r="L52" s="73"/>
      <c r="M52" s="25"/>
      <c r="N52" s="22"/>
      <c r="O52" s="25"/>
      <c r="P52" s="22"/>
      <c r="Q52" s="25"/>
      <c r="R52" s="22"/>
      <c r="S52" s="21"/>
      <c r="T52" s="22"/>
      <c r="U52" s="25"/>
      <c r="V52" s="22"/>
      <c r="W52" s="25"/>
      <c r="X52" s="22"/>
      <c r="Y52" s="25"/>
      <c r="Z52" s="22"/>
      <c r="AA52" s="21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2"/>
        <v>7</v>
      </c>
      <c r="AY52" s="22">
        <f t="shared" si="3"/>
        <v>6.6350710900473935</v>
      </c>
    </row>
    <row r="53" spans="1:53" x14ac:dyDescent="0.25">
      <c r="A53" s="19" t="s">
        <v>59</v>
      </c>
      <c r="B53" s="20"/>
      <c r="C53" s="25"/>
      <c r="D53" s="22"/>
      <c r="E53" s="25">
        <v>6</v>
      </c>
      <c r="F53" s="22">
        <v>7</v>
      </c>
      <c r="G53" s="25"/>
      <c r="H53" s="22"/>
      <c r="I53" s="25"/>
      <c r="J53" s="22">
        <v>2</v>
      </c>
      <c r="K53" s="25"/>
      <c r="L53" s="73"/>
      <c r="M53" s="25">
        <v>5</v>
      </c>
      <c r="N53" s="22">
        <v>5</v>
      </c>
      <c r="O53" s="25"/>
      <c r="P53" s="22"/>
      <c r="Q53" s="25"/>
      <c r="R53" s="22">
        <v>4.8</v>
      </c>
      <c r="S53" s="21"/>
      <c r="T53" s="22"/>
      <c r="U53" s="25"/>
      <c r="V53" s="22"/>
      <c r="W53" s="25"/>
      <c r="X53" s="22"/>
      <c r="Y53" s="25"/>
      <c r="Z53" s="22"/>
      <c r="AA53" s="21"/>
      <c r="AB53" s="22"/>
      <c r="AC53" s="25"/>
      <c r="AD53" s="22">
        <v>6.1</v>
      </c>
      <c r="AE53" s="25"/>
      <c r="AF53" s="22"/>
      <c r="AG53" s="25"/>
      <c r="AH53" s="22">
        <v>1</v>
      </c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25.9</v>
      </c>
      <c r="AY53" s="22">
        <f t="shared" si="3"/>
        <v>24.549763033175356</v>
      </c>
    </row>
    <row r="54" spans="1:53" s="18" customFormat="1" x14ac:dyDescent="0.25">
      <c r="A54" s="12" t="s">
        <v>60</v>
      </c>
      <c r="B54" s="13"/>
      <c r="C54" s="14"/>
      <c r="D54" s="15">
        <f>SUM(D55:D62)</f>
        <v>62.18</v>
      </c>
      <c r="E54" s="14"/>
      <c r="F54" s="15">
        <f>SUM(F55:F62)</f>
        <v>36</v>
      </c>
      <c r="G54" s="14"/>
      <c r="H54" s="15">
        <f>SUM(H55:H62)</f>
        <v>92</v>
      </c>
      <c r="I54" s="14"/>
      <c r="J54" s="15">
        <f>SUM(J55:J62)</f>
        <v>19.119999999999997</v>
      </c>
      <c r="K54" s="70"/>
      <c r="L54" s="70">
        <f>SUM(L55:L62)</f>
        <v>58.379999999999995</v>
      </c>
      <c r="M54" s="14"/>
      <c r="N54" s="15">
        <f>SUM(N55:N62)</f>
        <v>32</v>
      </c>
      <c r="O54" s="14"/>
      <c r="P54" s="15">
        <f>SUM(P55:P62)</f>
        <v>37.15</v>
      </c>
      <c r="Q54" s="14"/>
      <c r="R54" s="15">
        <f>SUM(R55:R62)</f>
        <v>35.200000000000003</v>
      </c>
      <c r="S54" s="14"/>
      <c r="T54" s="15">
        <f>SUM(T55:T62)</f>
        <v>6.27</v>
      </c>
      <c r="U54" s="14"/>
      <c r="V54" s="15">
        <f>SUM(V55:V62)</f>
        <v>0</v>
      </c>
      <c r="W54" s="14"/>
      <c r="X54" s="15">
        <f>SUM(X55:X62)</f>
        <v>18.720000000000002</v>
      </c>
      <c r="Y54" s="14"/>
      <c r="Z54" s="15">
        <f>SUM(Z55:Z62)</f>
        <v>21.66</v>
      </c>
      <c r="AA54" s="14"/>
      <c r="AB54" s="15">
        <f>SUM(AB55:AB62)</f>
        <v>17.18</v>
      </c>
      <c r="AC54" s="14"/>
      <c r="AD54" s="15">
        <f>SUM(AD55:AD62)</f>
        <v>24.03</v>
      </c>
      <c r="AE54" s="14"/>
      <c r="AF54" s="15">
        <f>SUM(AF55:AF62)</f>
        <v>58.480000000000011</v>
      </c>
      <c r="AG54" s="14"/>
      <c r="AH54" s="15">
        <f>SUM(AH55:AH62)</f>
        <v>24.4</v>
      </c>
      <c r="AI54" s="14"/>
      <c r="AJ54" s="15">
        <f>SUM(AJ55:AJ62)</f>
        <v>12.950000000000001</v>
      </c>
      <c r="AK54" s="14"/>
      <c r="AL54" s="15">
        <f>SUM(AL55:AL62)</f>
        <v>12</v>
      </c>
      <c r="AM54" s="14"/>
      <c r="AN54" s="15">
        <f>SUM(AN55:AN62)</f>
        <v>0</v>
      </c>
      <c r="AO54" s="14"/>
      <c r="AP54" s="15">
        <f>SUM(AP55:AP62)</f>
        <v>0</v>
      </c>
      <c r="AQ54" s="14"/>
      <c r="AR54" s="15">
        <f>SUM(AR55:AR62)</f>
        <v>0</v>
      </c>
      <c r="AS54" s="14"/>
      <c r="AT54" s="15">
        <f>SUM(AT55:AT62)</f>
        <v>0</v>
      </c>
      <c r="AU54" s="14"/>
      <c r="AV54" s="15">
        <f>SUM(AV55:AV62)</f>
        <v>0</v>
      </c>
      <c r="AX54" s="71">
        <f t="shared" si="2"/>
        <v>567.72</v>
      </c>
      <c r="AY54" s="15">
        <f t="shared" si="3"/>
        <v>538.12322274881524</v>
      </c>
    </row>
    <row r="55" spans="1:53" x14ac:dyDescent="0.25">
      <c r="A55" s="19" t="s">
        <v>61</v>
      </c>
      <c r="B55" s="20" t="s">
        <v>34</v>
      </c>
      <c r="C55" s="25">
        <v>0.41499999999999998</v>
      </c>
      <c r="D55" s="22">
        <f>9.56+2</f>
        <v>11.56</v>
      </c>
      <c r="E55" s="25"/>
      <c r="F55" s="22">
        <v>8</v>
      </c>
      <c r="G55" s="25">
        <v>0.78</v>
      </c>
      <c r="H55" s="22">
        <v>20</v>
      </c>
      <c r="I55" s="25"/>
      <c r="J55" s="22">
        <v>4.5</v>
      </c>
      <c r="K55" s="1">
        <v>0.245</v>
      </c>
      <c r="L55" s="73">
        <v>5.64</v>
      </c>
      <c r="M55" s="25"/>
      <c r="N55" s="22">
        <v>9.3000000000000007</v>
      </c>
      <c r="O55" s="25">
        <v>0.69</v>
      </c>
      <c r="P55" s="22">
        <v>15.88</v>
      </c>
      <c r="Q55" s="25"/>
      <c r="R55" s="22">
        <v>9.5299999999999994</v>
      </c>
      <c r="S55" s="25"/>
      <c r="T55" s="22"/>
      <c r="U55" s="25"/>
      <c r="V55" s="22"/>
      <c r="W55" s="25">
        <v>8.5000000000000006E-2</v>
      </c>
      <c r="X55" s="22">
        <v>1.96</v>
      </c>
      <c r="Y55" s="25"/>
      <c r="Z55" s="22">
        <v>3.4</v>
      </c>
      <c r="AA55" s="25">
        <v>0.125</v>
      </c>
      <c r="AB55" s="22">
        <v>2.88</v>
      </c>
      <c r="AC55" s="25"/>
      <c r="AD55" s="22">
        <v>8.5299999999999994</v>
      </c>
      <c r="AE55" s="25">
        <v>0.79500000000000004</v>
      </c>
      <c r="AF55" s="22">
        <v>18.29</v>
      </c>
      <c r="AG55" s="25"/>
      <c r="AH55" s="22">
        <v>7.25</v>
      </c>
      <c r="AI55" s="25"/>
      <c r="AJ55" s="22"/>
      <c r="AK55" s="25"/>
      <c r="AL55" s="22">
        <v>2.5499999999999998</v>
      </c>
      <c r="AM55" s="25"/>
      <c r="AN55" s="22"/>
      <c r="AO55" s="25"/>
      <c r="AP55" s="22"/>
      <c r="AQ55" s="25"/>
      <c r="AR55" s="22"/>
      <c r="AS55" s="25"/>
      <c r="AT55" s="22"/>
      <c r="AU55" s="25"/>
      <c r="AV55" s="22"/>
      <c r="AW55"/>
      <c r="AX55" s="74">
        <f t="shared" si="2"/>
        <v>129.26999999999998</v>
      </c>
      <c r="AY55" s="22">
        <f t="shared" si="3"/>
        <v>122.53080568720378</v>
      </c>
    </row>
    <row r="56" spans="1:53" x14ac:dyDescent="0.25">
      <c r="A56" s="19" t="s">
        <v>62</v>
      </c>
      <c r="B56" s="20" t="s">
        <v>34</v>
      </c>
      <c r="C56"/>
      <c r="D56" s="22"/>
      <c r="E56"/>
      <c r="F56" s="22">
        <v>8</v>
      </c>
      <c r="G56"/>
      <c r="H56" s="22"/>
      <c r="I56"/>
      <c r="J56" s="22">
        <v>1.9</v>
      </c>
      <c r="K56" s="1"/>
      <c r="L56" s="22"/>
      <c r="M56"/>
      <c r="N56" s="22"/>
      <c r="O56"/>
      <c r="P56" s="22"/>
      <c r="Q56"/>
      <c r="R56" s="22">
        <v>2</v>
      </c>
      <c r="S56"/>
      <c r="T56" s="22"/>
      <c r="U56"/>
      <c r="V56" s="22"/>
      <c r="W56"/>
      <c r="X56" s="22"/>
      <c r="Y56"/>
      <c r="Z56" s="22"/>
      <c r="AA56"/>
      <c r="AB56" s="22"/>
      <c r="AC56"/>
      <c r="AD56" s="22">
        <v>5.49</v>
      </c>
      <c r="AE56" s="1">
        <v>0.315</v>
      </c>
      <c r="AF56" s="22">
        <v>7.26</v>
      </c>
      <c r="AG56"/>
      <c r="AH56" s="22"/>
      <c r="AI56"/>
      <c r="AJ56" s="22"/>
      <c r="AK56"/>
      <c r="AL56" s="22"/>
      <c r="AM56"/>
      <c r="AN56" s="22"/>
      <c r="AO56"/>
      <c r="AP56" s="22"/>
      <c r="AQ56"/>
      <c r="AR56" s="22"/>
      <c r="AS56"/>
      <c r="AT56" s="22"/>
      <c r="AU56"/>
      <c r="AV56" s="22"/>
      <c r="AW56"/>
      <c r="AX56" s="74">
        <f t="shared" si="2"/>
        <v>24.65</v>
      </c>
      <c r="AY56" s="22">
        <f t="shared" si="3"/>
        <v>23.364928909952607</v>
      </c>
    </row>
    <row r="57" spans="1:53" x14ac:dyDescent="0.25">
      <c r="A57" s="19" t="s">
        <v>63</v>
      </c>
      <c r="B57" s="20" t="s">
        <v>34</v>
      </c>
      <c r="C57" s="1">
        <v>0.115</v>
      </c>
      <c r="D57" s="22">
        <v>2.65</v>
      </c>
      <c r="E57"/>
      <c r="F57" s="22"/>
      <c r="G57" s="1">
        <v>0.46</v>
      </c>
      <c r="H57" s="22">
        <v>12</v>
      </c>
      <c r="I57"/>
      <c r="J57" s="22"/>
      <c r="K57" s="1">
        <v>0.435</v>
      </c>
      <c r="L57" s="22">
        <v>10.02</v>
      </c>
      <c r="M57"/>
      <c r="N57" s="22"/>
      <c r="O57" s="1">
        <v>0.31</v>
      </c>
      <c r="P57" s="22">
        <v>7.14</v>
      </c>
      <c r="Q57"/>
      <c r="R57" s="22">
        <v>2.95</v>
      </c>
      <c r="S57" s="1">
        <v>0.14499999999999999</v>
      </c>
      <c r="T57" s="22">
        <v>3.34</v>
      </c>
      <c r="U57"/>
      <c r="V57" s="22"/>
      <c r="W57"/>
      <c r="X57" s="22"/>
      <c r="Y57"/>
      <c r="Z57" s="22">
        <v>5.6</v>
      </c>
      <c r="AA57"/>
      <c r="AB57" s="22"/>
      <c r="AC57"/>
      <c r="AD57" s="22">
        <v>5.25</v>
      </c>
      <c r="AE57" s="1">
        <v>0.70499999999999996</v>
      </c>
      <c r="AF57" s="22">
        <v>16.23</v>
      </c>
      <c r="AG57"/>
      <c r="AH57" s="22"/>
      <c r="AI57" s="1">
        <v>0.2</v>
      </c>
      <c r="AJ57" s="22">
        <v>4.5999999999999996</v>
      </c>
      <c r="AK57"/>
      <c r="AL57" s="22">
        <v>4.45</v>
      </c>
      <c r="AM57"/>
      <c r="AN57" s="22"/>
      <c r="AO57"/>
      <c r="AP57" s="22"/>
      <c r="AQ57"/>
      <c r="AR57" s="22"/>
      <c r="AS57"/>
      <c r="AT57" s="22"/>
      <c r="AU57"/>
      <c r="AV57" s="22"/>
      <c r="AW57"/>
      <c r="AX57" s="74">
        <f t="shared" si="2"/>
        <v>74.23</v>
      </c>
      <c r="AY57" s="22">
        <f t="shared" si="3"/>
        <v>70.360189573459721</v>
      </c>
    </row>
    <row r="58" spans="1:53" x14ac:dyDescent="0.25">
      <c r="A58" s="19" t="s">
        <v>64</v>
      </c>
      <c r="B58" s="20" t="s">
        <v>34</v>
      </c>
      <c r="C58" s="25">
        <v>0.38500000000000001</v>
      </c>
      <c r="D58" s="22">
        <f>15.03+4</f>
        <v>19.03</v>
      </c>
      <c r="E58" s="25"/>
      <c r="F58" s="22">
        <v>10</v>
      </c>
      <c r="G58" s="25">
        <v>0.71499999999999997</v>
      </c>
      <c r="H58" s="22">
        <v>30</v>
      </c>
      <c r="I58" s="25"/>
      <c r="J58" s="22">
        <v>3.96</v>
      </c>
      <c r="K58" s="1">
        <v>0.83499999999999996</v>
      </c>
      <c r="L58" s="73">
        <v>32.58</v>
      </c>
      <c r="M58" s="25"/>
      <c r="N58" s="22">
        <v>15.3</v>
      </c>
      <c r="O58" s="25">
        <v>0.30499999999999999</v>
      </c>
      <c r="P58" s="22">
        <v>11.9</v>
      </c>
      <c r="Q58" s="25"/>
      <c r="R58" s="22">
        <v>4.5</v>
      </c>
      <c r="S58" s="25">
        <v>7.4999999999999997E-2</v>
      </c>
      <c r="T58" s="22">
        <v>2.93</v>
      </c>
      <c r="U58" s="85"/>
      <c r="V58" s="22"/>
      <c r="W58" s="25">
        <v>0.27500000000000002</v>
      </c>
      <c r="X58" s="22">
        <v>10.73</v>
      </c>
      <c r="Y58" s="25"/>
      <c r="Z58" s="22">
        <v>12.66</v>
      </c>
      <c r="AA58" s="25">
        <v>0.09</v>
      </c>
      <c r="AB58" s="22">
        <v>3.51</v>
      </c>
      <c r="AC58" s="25"/>
      <c r="AD58" s="22"/>
      <c r="AE58" s="25">
        <v>0.21</v>
      </c>
      <c r="AF58" s="22">
        <v>8.1999999999999993</v>
      </c>
      <c r="AG58" s="25"/>
      <c r="AH58" s="22">
        <v>4.5</v>
      </c>
      <c r="AI58" s="25">
        <v>0.125</v>
      </c>
      <c r="AJ58" s="22">
        <v>4.88</v>
      </c>
      <c r="AK58" s="25"/>
      <c r="AL58" s="22">
        <v>5</v>
      </c>
      <c r="AM58" s="25"/>
      <c r="AN58" s="22"/>
      <c r="AO58" s="25"/>
      <c r="AP58" s="22"/>
      <c r="AQ58" s="25"/>
      <c r="AR58" s="22"/>
      <c r="AS58" s="25"/>
      <c r="AT58" s="22"/>
      <c r="AU58" s="25"/>
      <c r="AV58" s="22"/>
      <c r="AW58"/>
      <c r="AX58" s="74">
        <f t="shared" si="2"/>
        <v>179.67999999999998</v>
      </c>
      <c r="AY58" s="22">
        <f t="shared" si="3"/>
        <v>170.31279620853078</v>
      </c>
    </row>
    <row r="59" spans="1:53" x14ac:dyDescent="0.25">
      <c r="A59" s="19" t="s">
        <v>65</v>
      </c>
      <c r="B59" s="20" t="s">
        <v>34</v>
      </c>
      <c r="C59" s="25"/>
      <c r="D59" s="22"/>
      <c r="E59" s="25"/>
      <c r="F59" s="22"/>
      <c r="G59" s="25"/>
      <c r="H59" s="22"/>
      <c r="I59" s="25"/>
      <c r="J59" s="22"/>
      <c r="K59" s="1"/>
      <c r="L59" s="73"/>
      <c r="M59" s="25"/>
      <c r="N59" s="22"/>
      <c r="O59" s="25"/>
      <c r="P59" s="22"/>
      <c r="Q59" s="25"/>
      <c r="R59" s="22"/>
      <c r="S59" s="25"/>
      <c r="T59" s="22"/>
      <c r="U59" s="2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2"/>
        <v>0</v>
      </c>
      <c r="AY59" s="22">
        <f t="shared" si="3"/>
        <v>0</v>
      </c>
    </row>
    <row r="60" spans="1:53" x14ac:dyDescent="0.25">
      <c r="A60" s="19" t="s">
        <v>66</v>
      </c>
      <c r="B60" s="20" t="s">
        <v>34</v>
      </c>
      <c r="C60" s="25">
        <v>1.5649999999999999</v>
      </c>
      <c r="D60" s="22">
        <f>16.34+6</f>
        <v>22.34</v>
      </c>
      <c r="E60" s="25"/>
      <c r="F60" s="22">
        <v>10</v>
      </c>
      <c r="G60" s="25">
        <v>2.54</v>
      </c>
      <c r="H60" s="22">
        <v>30</v>
      </c>
      <c r="I60" s="25"/>
      <c r="J60" s="22">
        <v>8.76</v>
      </c>
      <c r="K60" s="1">
        <v>0.53500000000000003</v>
      </c>
      <c r="L60" s="73">
        <v>5.08</v>
      </c>
      <c r="M60" s="25"/>
      <c r="N60" s="22">
        <v>7.4</v>
      </c>
      <c r="O60" s="25">
        <v>0.23499999999999999</v>
      </c>
      <c r="P60" s="22">
        <v>2.23</v>
      </c>
      <c r="Q60" s="25"/>
      <c r="R60" s="22">
        <v>16.22</v>
      </c>
      <c r="S60" s="25"/>
      <c r="T60" s="22"/>
      <c r="U60" s="25"/>
      <c r="V60" s="22"/>
      <c r="W60" s="25">
        <v>0.63500000000000001</v>
      </c>
      <c r="X60" s="22">
        <v>6.03</v>
      </c>
      <c r="Y60" s="25"/>
      <c r="Z60" s="22"/>
      <c r="AA60" s="25">
        <v>1.135</v>
      </c>
      <c r="AB60" s="22">
        <v>10.79</v>
      </c>
      <c r="AC60" s="25"/>
      <c r="AD60" s="22">
        <v>4.76</v>
      </c>
      <c r="AE60" s="25">
        <v>0.76</v>
      </c>
      <c r="AF60" s="22">
        <v>7.23</v>
      </c>
      <c r="AG60" s="25"/>
      <c r="AH60" s="22">
        <v>10.65</v>
      </c>
      <c r="AI60" s="25">
        <v>0.36499999999999999</v>
      </c>
      <c r="AJ60" s="22">
        <v>3.47</v>
      </c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 t="shared" si="2"/>
        <v>144.96</v>
      </c>
      <c r="AY60" s="22">
        <f t="shared" si="3"/>
        <v>137.40284360189574</v>
      </c>
    </row>
    <row r="61" spans="1:53" x14ac:dyDescent="0.25">
      <c r="A61" s="19" t="s">
        <v>38</v>
      </c>
      <c r="B61" s="20" t="s">
        <v>34</v>
      </c>
      <c r="C61" s="25">
        <v>0.2</v>
      </c>
      <c r="D61" s="22">
        <f>4.6+2</f>
        <v>6.6</v>
      </c>
      <c r="E61" s="25"/>
      <c r="F61" s="22"/>
      <c r="G61" s="25"/>
      <c r="H61" s="22"/>
      <c r="I61" s="25"/>
      <c r="J61" s="22"/>
      <c r="K61" s="1">
        <v>0.22</v>
      </c>
      <c r="L61" s="73">
        <v>5.0599999999999996</v>
      </c>
      <c r="M61" s="25"/>
      <c r="N61" s="22"/>
      <c r="O61" s="25"/>
      <c r="P61" s="22"/>
      <c r="Q61" s="25"/>
      <c r="R61" s="22"/>
      <c r="S61" s="25"/>
      <c r="T61" s="22"/>
      <c r="U61" s="25"/>
      <c r="V61" s="22"/>
      <c r="W61" s="25"/>
      <c r="X61" s="22"/>
      <c r="Y61" s="25"/>
      <c r="Z61" s="22"/>
      <c r="AA61" s="25"/>
      <c r="AB61" s="22"/>
      <c r="AC61" s="25"/>
      <c r="AD61" s="22"/>
      <c r="AE61" s="25">
        <v>5.5E-2</v>
      </c>
      <c r="AF61" s="22">
        <v>1.27</v>
      </c>
      <c r="AG61" s="25"/>
      <c r="AH61" s="22">
        <v>2</v>
      </c>
      <c r="AI61" s="25"/>
      <c r="AJ61" s="22"/>
      <c r="AK61" s="25"/>
      <c r="AL61" s="22"/>
      <c r="AM61" s="25"/>
      <c r="AN61" s="22"/>
      <c r="AO61" s="25"/>
      <c r="AP61" s="22"/>
      <c r="AQ61" s="25"/>
      <c r="AR61" s="22"/>
      <c r="AS61" s="25"/>
      <c r="AT61" s="22"/>
      <c r="AU61" s="25"/>
      <c r="AV61" s="22"/>
      <c r="AW61"/>
      <c r="AX61" s="74">
        <f t="shared" si="2"/>
        <v>14.93</v>
      </c>
      <c r="AY61" s="22">
        <f t="shared" si="3"/>
        <v>14.151658767772512</v>
      </c>
    </row>
    <row r="62" spans="1:53" x14ac:dyDescent="0.25">
      <c r="A62" s="19" t="s">
        <v>114</v>
      </c>
      <c r="B62" s="20"/>
      <c r="C62" s="25"/>
      <c r="D62" s="22"/>
      <c r="E62" s="25"/>
      <c r="F62" s="22"/>
      <c r="G62" s="25"/>
      <c r="H62" s="22"/>
      <c r="I62" s="25"/>
      <c r="J62" s="22"/>
      <c r="K62" s="1"/>
      <c r="L62" s="73"/>
      <c r="M62" s="25"/>
      <c r="N62" s="22"/>
      <c r="O62" s="25"/>
      <c r="P62" s="22"/>
      <c r="Q62" s="25"/>
      <c r="R62" s="22"/>
      <c r="S62" s="25"/>
      <c r="T62" s="22"/>
      <c r="U62" s="25"/>
      <c r="V62" s="22"/>
      <c r="W62" s="25"/>
      <c r="X62" s="22"/>
      <c r="Y62" s="25"/>
      <c r="Z62" s="22"/>
      <c r="AA62" s="25"/>
      <c r="AB62" s="22"/>
      <c r="AC62" s="25"/>
      <c r="AD62" s="22"/>
      <c r="AE62" s="25"/>
      <c r="AF62" s="22"/>
      <c r="AG62" s="25"/>
      <c r="AH62" s="22"/>
      <c r="AI62" s="25"/>
      <c r="AJ62" s="22"/>
      <c r="AK62" s="25"/>
      <c r="AL62" s="22"/>
      <c r="AM62" s="25"/>
      <c r="AN62" s="22"/>
      <c r="AO62" s="25"/>
      <c r="AP62" s="22"/>
      <c r="AQ62" s="25"/>
      <c r="AR62" s="22"/>
      <c r="AS62" s="25"/>
      <c r="AT62" s="22"/>
      <c r="AU62" s="25"/>
      <c r="AV62" s="22"/>
      <c r="AW62"/>
      <c r="AX62" s="74">
        <f t="shared" si="2"/>
        <v>0</v>
      </c>
      <c r="AY62" s="22">
        <f t="shared" si="3"/>
        <v>0</v>
      </c>
    </row>
    <row r="63" spans="1:53" s="18" customFormat="1" x14ac:dyDescent="0.25">
      <c r="A63" s="12" t="s">
        <v>67</v>
      </c>
      <c r="B63" s="13"/>
      <c r="C63" s="14"/>
      <c r="D63" s="15">
        <f>SUM(D64:D65)</f>
        <v>0</v>
      </c>
      <c r="E63" s="14"/>
      <c r="F63" s="15">
        <f>SUM(F64:F65)</f>
        <v>5.4</v>
      </c>
      <c r="G63" s="14"/>
      <c r="H63" s="15">
        <f>SUM(H64:H65)</f>
        <v>7.5</v>
      </c>
      <c r="I63" s="14"/>
      <c r="J63" s="15">
        <f>SUM(J64:J65)</f>
        <v>10.4</v>
      </c>
      <c r="K63" s="70"/>
      <c r="L63" s="70">
        <f>SUM(L64:L65)</f>
        <v>0</v>
      </c>
      <c r="M63" s="14"/>
      <c r="N63" s="15">
        <f>SUM(N64:N65)</f>
        <v>5</v>
      </c>
      <c r="O63" s="14"/>
      <c r="P63" s="15">
        <f>SUM(P64:P65)</f>
        <v>2.5</v>
      </c>
      <c r="Q63" s="14"/>
      <c r="R63" s="15">
        <f>SUM(R64:R65)</f>
        <v>15.8</v>
      </c>
      <c r="S63" s="14"/>
      <c r="T63" s="15">
        <f>SUM(T64:T65)</f>
        <v>2.5</v>
      </c>
      <c r="U63" s="14"/>
      <c r="V63" s="15">
        <f>SUM(V64:V65)</f>
        <v>2.5</v>
      </c>
      <c r="W63" s="14"/>
      <c r="X63" s="15">
        <f>SUM(X64:X65)</f>
        <v>0</v>
      </c>
      <c r="Y63" s="14"/>
      <c r="Z63" s="15">
        <f>SUM(Z64:Z65)</f>
        <v>7.5</v>
      </c>
      <c r="AA63" s="14"/>
      <c r="AB63" s="15">
        <f>SUM(AB64:AB65)</f>
        <v>7.5</v>
      </c>
      <c r="AC63" s="14"/>
      <c r="AD63" s="15">
        <f>SUM(AD64:AD65)</f>
        <v>10.8</v>
      </c>
      <c r="AE63" s="14"/>
      <c r="AF63" s="15">
        <f>SUM(AF64:AF65)</f>
        <v>2.5</v>
      </c>
      <c r="AG63" s="14"/>
      <c r="AH63" s="15">
        <f>SUM(AH64:AH65)</f>
        <v>0</v>
      </c>
      <c r="AI63" s="14"/>
      <c r="AJ63" s="15">
        <f>SUM(AJ64:AJ65)</f>
        <v>5</v>
      </c>
      <c r="AK63" s="14"/>
      <c r="AL63" s="15">
        <f>SUM(AL64:AL65)</f>
        <v>5</v>
      </c>
      <c r="AM63" s="14"/>
      <c r="AN63" s="15">
        <f>SUM(AN64:AN65)</f>
        <v>0</v>
      </c>
      <c r="AO63" s="14"/>
      <c r="AP63" s="15">
        <f>SUM(AP64:AP65)</f>
        <v>0</v>
      </c>
      <c r="AQ63" s="14"/>
      <c r="AR63" s="15">
        <f>SUM(AR64:AR65)</f>
        <v>0</v>
      </c>
      <c r="AS63" s="14"/>
      <c r="AT63" s="15">
        <f>SUM(AT64:AT65)</f>
        <v>0</v>
      </c>
      <c r="AU63" s="14"/>
      <c r="AV63" s="15">
        <f>SUM(AV64:AV65)</f>
        <v>0</v>
      </c>
      <c r="AX63" s="71">
        <f t="shared" si="2"/>
        <v>89.9</v>
      </c>
      <c r="AY63" s="15">
        <f t="shared" si="3"/>
        <v>85.213270142180107</v>
      </c>
    </row>
    <row r="64" spans="1:53" x14ac:dyDescent="0.25">
      <c r="A64" s="19" t="s">
        <v>68</v>
      </c>
      <c r="B64" s="20" t="s">
        <v>69</v>
      </c>
      <c r="C64" s="21"/>
      <c r="D64" s="22"/>
      <c r="E64" s="21">
        <v>1</v>
      </c>
      <c r="F64" s="22">
        <v>2.5</v>
      </c>
      <c r="G64" s="21">
        <v>2</v>
      </c>
      <c r="H64" s="22">
        <v>4.5999999999999996</v>
      </c>
      <c r="I64" s="21">
        <v>3</v>
      </c>
      <c r="J64" s="22">
        <v>7.5</v>
      </c>
      <c r="K64" s="24"/>
      <c r="L64" s="73"/>
      <c r="M64" s="21">
        <v>2</v>
      </c>
      <c r="N64" s="22">
        <v>5</v>
      </c>
      <c r="O64" s="21">
        <v>1</v>
      </c>
      <c r="P64" s="22">
        <v>2.5</v>
      </c>
      <c r="Q64" s="21">
        <v>4</v>
      </c>
      <c r="R64" s="22">
        <v>10</v>
      </c>
      <c r="S64" s="21">
        <v>1</v>
      </c>
      <c r="T64" s="22">
        <v>2.5</v>
      </c>
      <c r="U64" s="21">
        <v>1</v>
      </c>
      <c r="V64" s="22">
        <v>2.5</v>
      </c>
      <c r="W64" s="21"/>
      <c r="X64" s="22"/>
      <c r="Y64" s="21">
        <v>3</v>
      </c>
      <c r="Z64" s="22">
        <v>7.5</v>
      </c>
      <c r="AA64" s="21">
        <v>3</v>
      </c>
      <c r="AB64" s="22">
        <v>7.5</v>
      </c>
      <c r="AC64" s="21">
        <v>2</v>
      </c>
      <c r="AD64" s="22">
        <v>5</v>
      </c>
      <c r="AE64" s="21">
        <v>1</v>
      </c>
      <c r="AF64" s="22">
        <v>2.5</v>
      </c>
      <c r="AG64" s="21"/>
      <c r="AH64" s="22"/>
      <c r="AI64" s="21">
        <v>2</v>
      </c>
      <c r="AJ64" s="22">
        <v>5</v>
      </c>
      <c r="AK64" s="21">
        <v>2</v>
      </c>
      <c r="AL64" s="22">
        <v>5</v>
      </c>
      <c r="AM64" s="21"/>
      <c r="AN64" s="22"/>
      <c r="AO64" s="21"/>
      <c r="AP64" s="22"/>
      <c r="AQ64" s="21"/>
      <c r="AR64" s="22"/>
      <c r="AS64" s="21"/>
      <c r="AT64" s="22"/>
      <c r="AU64" s="21"/>
      <c r="AV64" s="22"/>
      <c r="AW64"/>
      <c r="AX64" s="74">
        <f t="shared" si="2"/>
        <v>69.599999999999994</v>
      </c>
      <c r="AY64" s="22">
        <f t="shared" si="3"/>
        <v>65.97156398104265</v>
      </c>
      <c r="BA64" s="75"/>
    </row>
    <row r="65" spans="1:52" x14ac:dyDescent="0.25">
      <c r="A65" s="7" t="s">
        <v>70</v>
      </c>
      <c r="B65" s="8" t="s">
        <v>69</v>
      </c>
      <c r="C65" s="26"/>
      <c r="D65" s="10"/>
      <c r="E65" s="26">
        <v>1</v>
      </c>
      <c r="F65" s="10">
        <v>2.9</v>
      </c>
      <c r="G65" s="26">
        <v>1</v>
      </c>
      <c r="H65" s="10">
        <v>2.9</v>
      </c>
      <c r="I65" s="26">
        <v>1</v>
      </c>
      <c r="J65" s="10">
        <v>2.9</v>
      </c>
      <c r="K65" s="26"/>
      <c r="L65" s="68"/>
      <c r="M65" s="26"/>
      <c r="N65" s="10"/>
      <c r="O65" s="26"/>
      <c r="P65" s="10"/>
      <c r="Q65" s="26">
        <v>3</v>
      </c>
      <c r="R65" s="10">
        <v>5.8</v>
      </c>
      <c r="S65" s="26"/>
      <c r="T65" s="10"/>
      <c r="U65" s="26"/>
      <c r="V65" s="10"/>
      <c r="W65" s="26"/>
      <c r="X65" s="10"/>
      <c r="Y65" s="26"/>
      <c r="Z65" s="10"/>
      <c r="AA65" s="26"/>
      <c r="AB65" s="10"/>
      <c r="AC65" s="26">
        <v>2</v>
      </c>
      <c r="AD65" s="10">
        <v>5.8</v>
      </c>
      <c r="AE65" s="26"/>
      <c r="AF65" s="10"/>
      <c r="AG65" s="26"/>
      <c r="AH65" s="10"/>
      <c r="AI65" s="26"/>
      <c r="AJ65" s="10"/>
      <c r="AK65" s="26"/>
      <c r="AL65" s="10"/>
      <c r="AM65" s="26"/>
      <c r="AN65" s="10"/>
      <c r="AO65" s="26"/>
      <c r="AP65" s="10"/>
      <c r="AQ65" s="26"/>
      <c r="AR65" s="10"/>
      <c r="AS65" s="26"/>
      <c r="AT65" s="10"/>
      <c r="AU65" s="26"/>
      <c r="AV65" s="10"/>
      <c r="AW65"/>
      <c r="AX65" s="77">
        <f t="shared" si="2"/>
        <v>20.299999999999997</v>
      </c>
      <c r="AY65" s="10">
        <f t="shared" si="3"/>
        <v>19.24170616113744</v>
      </c>
    </row>
    <row r="66" spans="1:52" s="18" customFormat="1" x14ac:dyDescent="0.25">
      <c r="A66" s="12" t="s">
        <v>71</v>
      </c>
      <c r="B66" s="13"/>
      <c r="C66" s="14"/>
      <c r="D66" s="15">
        <f>SUM(D67:D67)</f>
        <v>0</v>
      </c>
      <c r="E66" s="14"/>
      <c r="F66" s="15">
        <f>SUM(F67:F67)</f>
        <v>0</v>
      </c>
      <c r="G66" s="14"/>
      <c r="H66" s="15">
        <f>SUM(H67:H67)</f>
        <v>0</v>
      </c>
      <c r="I66" s="14"/>
      <c r="J66" s="15">
        <f>SUM(J67:J67)</f>
        <v>0</v>
      </c>
      <c r="K66" s="70"/>
      <c r="L66" s="70"/>
      <c r="M66" s="14"/>
      <c r="N66" s="15">
        <f>SUM(N67:N67)</f>
        <v>0</v>
      </c>
      <c r="O66" s="14"/>
      <c r="P66" s="15">
        <f>SUM(P67:P67)</f>
        <v>0</v>
      </c>
      <c r="Q66" s="14"/>
      <c r="R66" s="15">
        <f>SUM(R67:R67)</f>
        <v>0</v>
      </c>
      <c r="S66" s="14"/>
      <c r="T66" s="15">
        <f>SUM(T67:T67)</f>
        <v>0</v>
      </c>
      <c r="U66" s="14"/>
      <c r="V66" s="15">
        <f>SUM(V67:V67)</f>
        <v>0</v>
      </c>
      <c r="W66" s="14"/>
      <c r="X66" s="15">
        <f>SUM(X67:X67)</f>
        <v>0</v>
      </c>
      <c r="Y66" s="14"/>
      <c r="Z66" s="15">
        <f>SUM(Z67:Z67)</f>
        <v>0</v>
      </c>
      <c r="AA66" s="14"/>
      <c r="AB66" s="15">
        <f>SUM(AB67:AB67)</f>
        <v>0</v>
      </c>
      <c r="AC66" s="14"/>
      <c r="AD66" s="15">
        <f>SUM(AD67:AD67)</f>
        <v>0</v>
      </c>
      <c r="AE66" s="14"/>
      <c r="AF66" s="15">
        <f>SUM(AF67:AF67)</f>
        <v>0</v>
      </c>
      <c r="AG66" s="14"/>
      <c r="AH66" s="15">
        <f>SUM(AH67:AH67)</f>
        <v>0</v>
      </c>
      <c r="AI66" s="14"/>
      <c r="AJ66" s="15">
        <f>SUM(AJ67:AJ67)</f>
        <v>0</v>
      </c>
      <c r="AK66" s="14"/>
      <c r="AL66" s="15">
        <f>SUM(AL67:AL67)</f>
        <v>0</v>
      </c>
      <c r="AM66" s="14"/>
      <c r="AN66" s="15">
        <f>SUM(AN67:AN67)</f>
        <v>0</v>
      </c>
      <c r="AO66" s="14"/>
      <c r="AP66" s="15">
        <f>SUM(AP67:AP67)</f>
        <v>0</v>
      </c>
      <c r="AQ66" s="14"/>
      <c r="AR66" s="15">
        <f>SUM(AR67:AR67)</f>
        <v>0</v>
      </c>
      <c r="AS66" s="14"/>
      <c r="AT66" s="15">
        <f>SUM(AT67:AT67)</f>
        <v>0</v>
      </c>
      <c r="AU66" s="14"/>
      <c r="AV66" s="15">
        <f>SUM(AV67:AV67)</f>
        <v>0</v>
      </c>
      <c r="AX66" s="71">
        <f t="shared" si="2"/>
        <v>0</v>
      </c>
      <c r="AY66" s="15">
        <f t="shared" si="3"/>
        <v>0</v>
      </c>
    </row>
    <row r="67" spans="1:52" x14ac:dyDescent="0.25">
      <c r="A67" s="7" t="s">
        <v>72</v>
      </c>
      <c r="B67" s="8" t="s">
        <v>73</v>
      </c>
      <c r="C67" s="26"/>
      <c r="D67" s="10"/>
      <c r="E67" s="26"/>
      <c r="F67" s="10"/>
      <c r="G67" s="26"/>
      <c r="H67" s="10"/>
      <c r="I67" s="26"/>
      <c r="J67" s="10"/>
      <c r="K67" s="76"/>
      <c r="L67" s="68"/>
      <c r="M67" s="26"/>
      <c r="N67" s="10"/>
      <c r="O67" s="26"/>
      <c r="P67" s="10"/>
      <c r="Q67" s="26"/>
      <c r="R67" s="10"/>
      <c r="S67" s="26"/>
      <c r="T67" s="10"/>
      <c r="U67" s="26"/>
      <c r="V67" s="10"/>
      <c r="W67" s="26"/>
      <c r="X67" s="10"/>
      <c r="Y67" s="26"/>
      <c r="Z67" s="10"/>
      <c r="AA67" s="26"/>
      <c r="AB67" s="10"/>
      <c r="AC67" s="26"/>
      <c r="AD67" s="10"/>
      <c r="AE67" s="26"/>
      <c r="AF67" s="10"/>
      <c r="AG67" s="26"/>
      <c r="AH67" s="10"/>
      <c r="AI67" s="26"/>
      <c r="AJ67" s="10"/>
      <c r="AK67" s="26"/>
      <c r="AL67" s="10"/>
      <c r="AM67" s="26"/>
      <c r="AN67" s="10"/>
      <c r="AO67" s="26"/>
      <c r="AP67" s="10"/>
      <c r="AQ67" s="26"/>
      <c r="AR67" s="10"/>
      <c r="AS67" s="26"/>
      <c r="AT67" s="10"/>
      <c r="AU67" s="26"/>
      <c r="AV67" s="10"/>
      <c r="AW67"/>
      <c r="AX67" s="77">
        <f t="shared" si="2"/>
        <v>0</v>
      </c>
      <c r="AY67" s="10">
        <f t="shared" ref="AY67:AY68" si="4">AX67/1.055</f>
        <v>0</v>
      </c>
    </row>
    <row r="68" spans="1:52" s="30" customFormat="1" x14ac:dyDescent="0.25">
      <c r="A68" s="138" t="s">
        <v>74</v>
      </c>
      <c r="B68" s="138"/>
      <c r="C68" s="28"/>
      <c r="D68" s="29">
        <f>D3+D34+D54+D63+D66</f>
        <v>678.99</v>
      </c>
      <c r="E68" s="28"/>
      <c r="F68" s="29">
        <f>F3+F34+F54+F63+F66</f>
        <v>292.39999999999998</v>
      </c>
      <c r="G68" s="28"/>
      <c r="H68" s="29">
        <f>H3+H34+H54+H63+H66</f>
        <v>980.8</v>
      </c>
      <c r="I68" s="28"/>
      <c r="J68" s="29">
        <f>J3+J34+J54+J63+J66</f>
        <v>536.41999999999996</v>
      </c>
      <c r="K68" s="29"/>
      <c r="L68" s="29">
        <f>L3+L34+L54+L63+L66</f>
        <v>849.06999999999994</v>
      </c>
      <c r="M68" s="28"/>
      <c r="N68" s="29">
        <f>N3+N34+N54+N63+N66</f>
        <v>281.72000000000003</v>
      </c>
      <c r="O68" s="28"/>
      <c r="P68" s="29">
        <f>P3+P34+P54+P63+P66</f>
        <v>1026.83</v>
      </c>
      <c r="Q68" s="28"/>
      <c r="R68" s="29">
        <f>R3+R34+R54+R63+R66</f>
        <v>687.89</v>
      </c>
      <c r="S68" s="28"/>
      <c r="T68" s="29">
        <f>T3+T34+T54+T63+T66</f>
        <v>1233.29</v>
      </c>
      <c r="U68" s="28"/>
      <c r="V68" s="29">
        <f>V3+V34+V54+V63+V66</f>
        <v>401.86999999999995</v>
      </c>
      <c r="W68" s="28"/>
      <c r="X68" s="29">
        <f>X3+X34+X54+X63+X66</f>
        <v>1023.46</v>
      </c>
      <c r="Y68" s="28"/>
      <c r="Z68" s="29">
        <f>Z3+Z34+Z54+Z63+Z66</f>
        <v>687.54</v>
      </c>
      <c r="AA68" s="28"/>
      <c r="AB68" s="29">
        <f>AB3+AB34+AB54+AB63+AB66</f>
        <v>421.41</v>
      </c>
      <c r="AC68" s="28"/>
      <c r="AD68" s="29">
        <f>AD3+AD34+AD54+AD63+AD66</f>
        <v>516.87999999999988</v>
      </c>
      <c r="AE68" s="28"/>
      <c r="AF68" s="29">
        <f>AF3+AF34+AF54+AF63+AF66</f>
        <v>1299.98</v>
      </c>
      <c r="AG68" s="28"/>
      <c r="AH68" s="29">
        <f>AH3+AH34+AH54+AH63+AH66</f>
        <v>562.19999999999993</v>
      </c>
      <c r="AI68" s="28"/>
      <c r="AJ68" s="29">
        <f>AJ3+AJ34+AJ54+AJ63+AJ66</f>
        <v>910.29000000000019</v>
      </c>
      <c r="AK68" s="28"/>
      <c r="AL68" s="29">
        <f>AL3+AL34+AL54+AL63+AL66</f>
        <v>638.45999999999992</v>
      </c>
      <c r="AM68" s="28"/>
      <c r="AN68" s="29">
        <f>AN3+AN34+AN54+AN63+AN66</f>
        <v>0</v>
      </c>
      <c r="AO68" s="28"/>
      <c r="AP68" s="29">
        <f>AP3+AP34+AP54+AP63+AP66</f>
        <v>0</v>
      </c>
      <c r="AQ68" s="28"/>
      <c r="AR68" s="29">
        <f>AR3+AR34+AR54+AR63+AR66</f>
        <v>0</v>
      </c>
      <c r="AS68" s="28"/>
      <c r="AT68" s="29">
        <f>AT3+AT34+AT54+AT63+AT66</f>
        <v>0</v>
      </c>
      <c r="AU68" s="28"/>
      <c r="AV68" s="29">
        <f>AV3+AV34+AV54+AV63+AV66</f>
        <v>0</v>
      </c>
      <c r="AW68" s="29"/>
      <c r="AX68" s="28">
        <f t="shared" si="2"/>
        <v>13029.499999999996</v>
      </c>
      <c r="AY68" s="29">
        <f t="shared" si="4"/>
        <v>12350.236966824641</v>
      </c>
    </row>
    <row r="69" spans="1:52" x14ac:dyDescent="0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Y69" s="78"/>
      <c r="AZ69" s="91"/>
    </row>
    <row r="70" spans="1:52" x14ac:dyDescent="0.25">
      <c r="A70" s="139" t="s">
        <v>75</v>
      </c>
      <c r="B70" s="33" t="s">
        <v>76</v>
      </c>
      <c r="C70" s="34"/>
      <c r="D70" s="96">
        <f>711.8-49.45</f>
        <v>662.34999999999991</v>
      </c>
      <c r="E70" s="34"/>
      <c r="F70" s="36">
        <v>285.39999999999998</v>
      </c>
      <c r="G70" s="34"/>
      <c r="H70" s="37">
        <v>948</v>
      </c>
      <c r="I70" s="34"/>
      <c r="J70" s="37">
        <v>536.41999999999996</v>
      </c>
      <c r="K70" s="36"/>
      <c r="L70" s="36">
        <f>885-90.5</f>
        <v>794.5</v>
      </c>
      <c r="M70" s="34"/>
      <c r="N70" s="37">
        <f>324-42.5</f>
        <v>281.5</v>
      </c>
      <c r="O70" s="34"/>
      <c r="P70" s="37">
        <f>1087.12-64.62-60.28</f>
        <v>962.21999999999991</v>
      </c>
      <c r="Q70" s="34"/>
      <c r="R70" s="36">
        <f>728-40.24</f>
        <v>687.76</v>
      </c>
      <c r="S70" s="34"/>
      <c r="T70" s="37">
        <f>1215.1-29.75</f>
        <v>1185.3499999999999</v>
      </c>
      <c r="U70" s="34"/>
      <c r="V70" s="37">
        <f>452-50.34</f>
        <v>401.65999999999997</v>
      </c>
      <c r="W70" s="34"/>
      <c r="X70" s="37">
        <f>1047.8-40.93</f>
        <v>1006.87</v>
      </c>
      <c r="Y70" s="34"/>
      <c r="Z70" s="37">
        <f>722-34.36</f>
        <v>687.64</v>
      </c>
      <c r="AA70" s="34"/>
      <c r="AB70" s="37">
        <v>355.96</v>
      </c>
      <c r="AC70" s="34"/>
      <c r="AD70" s="37">
        <f>AD68-11.34</f>
        <v>505.53999999999991</v>
      </c>
      <c r="AE70" s="34"/>
      <c r="AF70" s="37">
        <f>1389.02-AF71-89.04</f>
        <v>1051.6300000000001</v>
      </c>
      <c r="AG70" s="34"/>
      <c r="AH70" s="37">
        <f>600-37.56</f>
        <v>562.44000000000005</v>
      </c>
      <c r="AI70" s="34"/>
      <c r="AJ70" s="37">
        <f>906.2-36.29</f>
        <v>869.91000000000008</v>
      </c>
      <c r="AK70" s="34"/>
      <c r="AL70" s="37">
        <f>655-23.37</f>
        <v>631.63</v>
      </c>
      <c r="AM70" s="34"/>
      <c r="AN70" s="37"/>
      <c r="AO70" s="34"/>
      <c r="AP70" s="37"/>
      <c r="AQ70" s="34"/>
      <c r="AR70" s="37"/>
      <c r="AS70" s="34"/>
      <c r="AT70" s="37"/>
      <c r="AU70" s="34"/>
      <c r="AV70" s="37"/>
      <c r="AW70" s="79"/>
      <c r="AX70" s="92">
        <f>SUM(D70,F70,H70,J70,L70,N70,P70,R70,T70,V70,X70,Z70,AB70,AD70,AF70,AH70,AJ70,AL70,AN70,AP70,AR70,AT70,AV70)</f>
        <v>12416.779999999999</v>
      </c>
      <c r="AY70" s="37">
        <f>AX70/1.055</f>
        <v>11769.45971563981</v>
      </c>
    </row>
    <row r="71" spans="1:52" x14ac:dyDescent="0.25">
      <c r="A71" s="139"/>
      <c r="B71" s="38" t="s">
        <v>77</v>
      </c>
      <c r="C71" s="39"/>
      <c r="D71" s="40"/>
      <c r="E71" s="39"/>
      <c r="F71" s="41">
        <v>7.4</v>
      </c>
      <c r="G71" s="39"/>
      <c r="H71" s="42">
        <v>32</v>
      </c>
      <c r="I71" s="39"/>
      <c r="J71" s="42"/>
      <c r="K71" s="88"/>
      <c r="L71" s="41">
        <v>54.66</v>
      </c>
      <c r="M71" s="39"/>
      <c r="N71" s="42"/>
      <c r="O71" s="39">
        <v>3</v>
      </c>
      <c r="P71" s="42">
        <v>64.62</v>
      </c>
      <c r="Q71" s="43"/>
      <c r="R71" s="41"/>
      <c r="S71" s="39">
        <v>2</v>
      </c>
      <c r="T71" s="42">
        <v>48.25</v>
      </c>
      <c r="U71" s="39"/>
      <c r="V71" s="42"/>
      <c r="W71" s="39">
        <v>1</v>
      </c>
      <c r="X71" s="42">
        <v>17</v>
      </c>
      <c r="Y71" s="39"/>
      <c r="Z71" s="42"/>
      <c r="AA71" s="39">
        <v>3</v>
      </c>
      <c r="AB71" s="42">
        <v>65.45</v>
      </c>
      <c r="AC71" s="39"/>
      <c r="AD71" s="42"/>
      <c r="AE71" s="39">
        <v>14</v>
      </c>
      <c r="AF71" s="42">
        <v>248.35</v>
      </c>
      <c r="AG71" s="39"/>
      <c r="AH71" s="42"/>
      <c r="AI71" s="39">
        <v>2</v>
      </c>
      <c r="AJ71" s="42">
        <v>40.200000000000003</v>
      </c>
      <c r="AK71" s="39"/>
      <c r="AL71" s="42"/>
      <c r="AM71" s="39"/>
      <c r="AN71" s="42"/>
      <c r="AO71" s="39"/>
      <c r="AP71" s="42"/>
      <c r="AQ71" s="39"/>
      <c r="AR71" s="42"/>
      <c r="AS71" s="39"/>
      <c r="AT71" s="42"/>
      <c r="AU71" s="39"/>
      <c r="AV71" s="42"/>
      <c r="AW71" s="80">
        <f>SUM(C71,E71,G71,I71,K71,M71,O71,Q71,S71,U71,W71,Y71,AA71,AC71,AE71,AG71,AI71,AK71,AM71,AO71,AQ71,AS71,AU71)</f>
        <v>25</v>
      </c>
      <c r="AX71" s="93">
        <f>SUM(D71,F71,H71,J71,L71,N71,P71,R71,T71,V71,X71,Z71,AB71,AD71,AF71,AH71,AJ71,AL71,AN71,AP71,AR71,AT71,AV71)</f>
        <v>577.93000000000006</v>
      </c>
      <c r="AY71" s="42">
        <f>AX71/1.055</f>
        <v>547.80094786729865</v>
      </c>
    </row>
    <row r="72" spans="1:52" x14ac:dyDescent="0.25">
      <c r="A72" s="139"/>
      <c r="B72" s="38" t="s">
        <v>245</v>
      </c>
      <c r="C72" s="39"/>
      <c r="D72" s="97">
        <v>16</v>
      </c>
      <c r="E72" s="39"/>
      <c r="F72" s="41"/>
      <c r="G72" s="39"/>
      <c r="H72" s="42"/>
      <c r="I72" s="39"/>
      <c r="J72" s="42"/>
      <c r="K72" s="88"/>
      <c r="L72" s="41"/>
      <c r="M72" s="39"/>
      <c r="N72" s="42"/>
      <c r="O72" s="39"/>
      <c r="P72" s="42"/>
      <c r="Q72" s="43"/>
      <c r="R72" s="41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39"/>
      <c r="AD72" s="42"/>
      <c r="AE72" s="39"/>
      <c r="AF72" s="42"/>
      <c r="AG72" s="39"/>
      <c r="AH72" s="42"/>
      <c r="AI72" s="39"/>
      <c r="AJ72" s="42"/>
      <c r="AK72" s="39"/>
      <c r="AL72" s="42"/>
      <c r="AM72" s="39"/>
      <c r="AN72" s="42"/>
      <c r="AO72" s="39"/>
      <c r="AP72" s="42"/>
      <c r="AQ72" s="39"/>
      <c r="AR72" s="42"/>
      <c r="AS72" s="39"/>
      <c r="AT72" s="42"/>
      <c r="AU72" s="39"/>
      <c r="AV72" s="42"/>
      <c r="AW72" s="80"/>
      <c r="AX72" s="93">
        <f>D72+F72+H72+J72+L72+N72+P72+R72+T72+V72+Z72+X72+AB72+AD72+AF72+AH72+AJ72+AL72+AN72+AP72+AR72+AT72+AV72</f>
        <v>16</v>
      </c>
      <c r="AY72" s="42"/>
    </row>
    <row r="73" spans="1:52" x14ac:dyDescent="0.25">
      <c r="A73" s="139"/>
      <c r="B73" s="38" t="s">
        <v>157</v>
      </c>
      <c r="C73" s="43"/>
      <c r="D73" s="40"/>
      <c r="E73" s="43"/>
      <c r="F73" s="41"/>
      <c r="G73" s="43"/>
      <c r="H73" s="42"/>
      <c r="I73" s="43"/>
      <c r="J73" s="42"/>
      <c r="K73" s="41"/>
      <c r="L73" s="41"/>
      <c r="M73" s="43"/>
      <c r="N73" s="42"/>
      <c r="O73" s="43"/>
      <c r="P73" s="42"/>
      <c r="Q73" s="43"/>
      <c r="R73" s="41"/>
      <c r="S73" s="43"/>
      <c r="T73" s="42"/>
      <c r="U73" s="43"/>
      <c r="V73" s="42"/>
      <c r="W73" s="43"/>
      <c r="X73" s="42"/>
      <c r="Y73" s="43"/>
      <c r="Z73" s="42"/>
      <c r="AA73" s="43"/>
      <c r="AB73" s="42"/>
      <c r="AC73" s="43"/>
      <c r="AD73" s="42"/>
      <c r="AE73" s="43"/>
      <c r="AF73" s="42"/>
      <c r="AG73" s="43"/>
      <c r="AH73" s="42"/>
      <c r="AI73" s="43"/>
      <c r="AJ73" s="42"/>
      <c r="AK73" s="43"/>
      <c r="AL73" s="42"/>
      <c r="AM73" s="43"/>
      <c r="AN73" s="42"/>
      <c r="AO73" s="43"/>
      <c r="AP73" s="42"/>
      <c r="AQ73" s="43"/>
      <c r="AR73" s="42"/>
      <c r="AS73" s="43"/>
      <c r="AT73" s="42"/>
      <c r="AU73" s="43"/>
      <c r="AV73" s="42"/>
      <c r="AW73" s="81"/>
      <c r="AX73" s="94"/>
      <c r="AY73" s="42"/>
    </row>
    <row r="74" spans="1:52" s="51" customFormat="1" x14ac:dyDescent="0.25">
      <c r="A74" s="139"/>
      <c r="B74" s="44" t="s">
        <v>78</v>
      </c>
      <c r="C74" s="45"/>
      <c r="D74" s="98">
        <f>SUM(D70:D73)</f>
        <v>678.34999999999991</v>
      </c>
      <c r="E74" s="45"/>
      <c r="F74" s="47">
        <f>SUM(F70:F73)</f>
        <v>292.79999999999995</v>
      </c>
      <c r="G74" s="45"/>
      <c r="H74" s="48">
        <f>SUM(H70:H73)</f>
        <v>980</v>
      </c>
      <c r="I74" s="45"/>
      <c r="J74" s="48">
        <f>SUM(J70:J73)</f>
        <v>536.41999999999996</v>
      </c>
      <c r="K74" s="47"/>
      <c r="L74" s="47">
        <f>SUM(L70:L73)</f>
        <v>849.16</v>
      </c>
      <c r="M74" s="45"/>
      <c r="N74" s="48">
        <f>SUM(N70:N73)</f>
        <v>281.5</v>
      </c>
      <c r="O74" s="45"/>
      <c r="P74" s="48">
        <f>SUM(P70:P73)</f>
        <v>1026.8399999999999</v>
      </c>
      <c r="Q74" s="45"/>
      <c r="R74" s="47">
        <f>SUM(R70:R73)</f>
        <v>687.76</v>
      </c>
      <c r="S74" s="45"/>
      <c r="T74" s="48">
        <f>SUM(T70:T73)</f>
        <v>1233.5999999999999</v>
      </c>
      <c r="U74" s="45"/>
      <c r="V74" s="48">
        <f>SUM(V70:V73)</f>
        <v>401.65999999999997</v>
      </c>
      <c r="W74" s="45"/>
      <c r="X74" s="48">
        <f>SUM(X70:X73)</f>
        <v>1023.87</v>
      </c>
      <c r="Y74" s="45"/>
      <c r="Z74" s="48">
        <f>SUM(Z70:Z73)</f>
        <v>687.64</v>
      </c>
      <c r="AA74" s="45"/>
      <c r="AB74" s="48">
        <f>SUM(AB70:AB73)</f>
        <v>421.40999999999997</v>
      </c>
      <c r="AC74" s="45"/>
      <c r="AD74" s="48">
        <f>SUM(AD70:AD73)</f>
        <v>505.53999999999991</v>
      </c>
      <c r="AE74" s="45"/>
      <c r="AF74" s="48">
        <f>SUM(AF70:AF73)</f>
        <v>1299.98</v>
      </c>
      <c r="AG74" s="45"/>
      <c r="AH74" s="48">
        <f>SUM(AH70:AH73)</f>
        <v>562.44000000000005</v>
      </c>
      <c r="AI74" s="45"/>
      <c r="AJ74" s="48">
        <f>SUM(AJ70:AJ73)</f>
        <v>910.11000000000013</v>
      </c>
      <c r="AK74" s="45"/>
      <c r="AL74" s="48">
        <f>SUM(AL70:AL73)</f>
        <v>631.63</v>
      </c>
      <c r="AM74" s="45"/>
      <c r="AN74" s="48">
        <f>SUM(AN70:AN73)</f>
        <v>0</v>
      </c>
      <c r="AO74" s="45"/>
      <c r="AP74" s="48">
        <f>SUM(AP70:AP73)</f>
        <v>0</v>
      </c>
      <c r="AQ74" s="45"/>
      <c r="AR74" s="48">
        <f>SUM(AR70:AR73)</f>
        <v>0</v>
      </c>
      <c r="AS74" s="45"/>
      <c r="AT74" s="48">
        <f>SUM(AT70:AT73)</f>
        <v>0</v>
      </c>
      <c r="AU74" s="45"/>
      <c r="AV74" s="48">
        <f>SUM(AV70:AV73)</f>
        <v>0</v>
      </c>
      <c r="AW74" s="82"/>
      <c r="AX74" s="95">
        <f>SUM(AX70:AX73)</f>
        <v>13010.71</v>
      </c>
      <c r="AY74" s="48">
        <f>SUM(AY70:AY73)</f>
        <v>12317.26066350711</v>
      </c>
    </row>
    <row r="75" spans="1:52" ht="15" customHeight="1" x14ac:dyDescent="0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83"/>
      <c r="N75" s="83"/>
      <c r="O75" s="147"/>
      <c r="P75" s="147"/>
      <c r="Q75" s="83"/>
      <c r="R75" s="83"/>
      <c r="S75" s="83"/>
      <c r="T75" s="83"/>
      <c r="U75" s="83"/>
      <c r="V75" s="83"/>
      <c r="W75" s="32"/>
      <c r="X75" s="32"/>
      <c r="Y75" s="32"/>
      <c r="Z75" s="32"/>
      <c r="AA75" s="32"/>
      <c r="AB75" s="32"/>
      <c r="AC75" s="32"/>
      <c r="AD75" s="32"/>
      <c r="AE75" s="66"/>
      <c r="AF75" s="66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52" x14ac:dyDescent="0.25">
      <c r="M76" s="32"/>
      <c r="N76" s="32"/>
      <c r="AE76" s="66"/>
      <c r="AF76" s="66"/>
    </row>
    <row r="77" spans="1:52" x14ac:dyDescent="0.25">
      <c r="AE77" s="66"/>
      <c r="AF77" s="66"/>
      <c r="AX77" s="2">
        <f>AX66+AX63+AX54+AX34+AX3</f>
        <v>13029.499999999998</v>
      </c>
    </row>
    <row r="78" spans="1:52" x14ac:dyDescent="0.25">
      <c r="AX78" s="2">
        <f>SUM(AX3:AX67)-AX77</f>
        <v>13029.500000000002</v>
      </c>
    </row>
  </sheetData>
  <mergeCells count="28">
    <mergeCell ref="A68:B68"/>
    <mergeCell ref="A70:A74"/>
    <mergeCell ref="O75:P75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FFFF"/>
  </sheetPr>
  <dimension ref="A1:BA79"/>
  <sheetViews>
    <sheetView windowProtection="1" zoomScaleNormal="100" workbookViewId="0">
      <pane xSplit="2" ySplit="2" topLeftCell="AE3" activePane="bottomRight" state="frozen"/>
      <selection pane="topRight" activeCell="AV1" sqref="AV1"/>
      <selection pane="bottomLeft" activeCell="A44" sqref="A44"/>
      <selection pane="bottomRight" activeCell="AX4" sqref="AX4"/>
    </sheetView>
  </sheetViews>
  <sheetFormatPr baseColWidth="10" defaultColWidth="9.140625" defaultRowHeight="15" x14ac:dyDescent="0.25"/>
  <cols>
    <col min="1" max="1" width="28"/>
    <col min="2" max="2" width="10.42578125"/>
    <col min="3" max="3" width="9.140625" style="1"/>
    <col min="4" max="4" width="10.85546875" style="2"/>
    <col min="5" max="5" width="9.140625" style="1"/>
    <col min="6" max="6" width="9.42578125" style="2"/>
    <col min="7" max="7" width="9.140625" style="1"/>
    <col min="8" max="8" width="9.42578125" style="2"/>
    <col min="9" max="9" width="9.140625" style="1"/>
    <col min="10" max="10" width="10" style="2"/>
    <col min="11" max="11" width="9.140625" style="2"/>
    <col min="12" max="12" width="10.85546875" style="2"/>
    <col min="13" max="13" width="9.140625" style="1"/>
    <col min="14" max="14" width="9.42578125" style="2"/>
    <col min="15" max="15" width="9.140625" style="1"/>
    <col min="16" max="16" width="10.85546875" style="2"/>
    <col min="17" max="17" width="9.140625" style="1"/>
    <col min="18" max="18" width="10" style="2"/>
    <col min="19" max="19" width="9.140625" style="1"/>
    <col min="20" max="20" width="10.85546875" style="2"/>
    <col min="21" max="21" width="9.140625" style="1"/>
    <col min="22" max="22" width="9.42578125" style="2"/>
    <col min="23" max="23" width="9.140625" style="1"/>
    <col min="24" max="24" width="10.85546875" style="2"/>
    <col min="25" max="25" width="9.140625" style="1"/>
    <col min="26" max="26" width="10" style="2"/>
    <col min="27" max="27" width="9.140625" style="1"/>
    <col min="28" max="28" width="10.85546875" style="2"/>
    <col min="29" max="29" width="9.140625" style="1"/>
    <col min="30" max="30" width="9.42578125" style="2"/>
    <col min="31" max="31" width="9.140625" style="1"/>
    <col min="32" max="32" width="10.85546875" style="2"/>
    <col min="33" max="33" width="9.140625" style="1"/>
    <col min="34" max="34" width="10" style="2"/>
    <col min="35" max="35" width="9.140625" style="1"/>
    <col min="36" max="36" width="10.85546875" style="2"/>
    <col min="37" max="37" width="9.140625" style="1"/>
    <col min="38" max="38" width="9.140625" style="2"/>
    <col min="39" max="39" width="9.140625" style="1"/>
    <col min="40" max="40" width="9.140625" style="2"/>
    <col min="41" max="41" width="9.140625" style="1"/>
    <col min="42" max="42" width="9.140625" style="2"/>
    <col min="43" max="43" width="9.140625" style="1"/>
    <col min="44" max="44" width="9.140625" style="2"/>
    <col min="45" max="45" width="9.140625" style="1"/>
    <col min="46" max="46" width="9.140625" style="2"/>
    <col min="47" max="47" width="9.140625" style="1"/>
    <col min="48" max="48" width="10" style="2"/>
    <col min="49" max="49" width="9.140625" style="2"/>
    <col min="50" max="52" width="11.85546875" bestFit="1" customWidth="1"/>
  </cols>
  <sheetData>
    <row r="1" spans="1:51" s="6" customFormat="1" ht="28.5" customHeight="1" x14ac:dyDescent="0.25">
      <c r="A1" s="3"/>
      <c r="B1" s="4" t="s">
        <v>0</v>
      </c>
      <c r="C1" s="136" t="s">
        <v>246</v>
      </c>
      <c r="D1" s="136"/>
      <c r="E1" s="136" t="s">
        <v>247</v>
      </c>
      <c r="F1" s="136"/>
      <c r="G1" s="136" t="s">
        <v>248</v>
      </c>
      <c r="H1" s="136"/>
      <c r="I1" s="136" t="s">
        <v>249</v>
      </c>
      <c r="J1" s="136"/>
      <c r="K1" s="145" t="s">
        <v>250</v>
      </c>
      <c r="L1" s="145"/>
      <c r="M1" s="136" t="s">
        <v>251</v>
      </c>
      <c r="N1" s="136"/>
      <c r="O1" s="136" t="s">
        <v>252</v>
      </c>
      <c r="P1" s="136"/>
      <c r="Q1" s="136" t="s">
        <v>253</v>
      </c>
      <c r="R1" s="136"/>
      <c r="S1" s="136" t="s">
        <v>254</v>
      </c>
      <c r="T1" s="136"/>
      <c r="U1" s="136" t="s">
        <v>255</v>
      </c>
      <c r="V1" s="136"/>
      <c r="W1" s="136" t="s">
        <v>256</v>
      </c>
      <c r="X1" s="136"/>
      <c r="Y1" s="136" t="s">
        <v>257</v>
      </c>
      <c r="Z1" s="136"/>
      <c r="AA1" s="136" t="s">
        <v>258</v>
      </c>
      <c r="AB1" s="136"/>
      <c r="AC1" s="136" t="s">
        <v>259</v>
      </c>
      <c r="AD1" s="136"/>
      <c r="AE1" s="136" t="s">
        <v>260</v>
      </c>
      <c r="AF1" s="136"/>
      <c r="AG1" s="136" t="s">
        <v>261</v>
      </c>
      <c r="AH1" s="136"/>
      <c r="AI1" s="136" t="s">
        <v>262</v>
      </c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SUM(D4:D34)</f>
        <v>1269.5</v>
      </c>
      <c r="E3" s="14"/>
      <c r="F3" s="15">
        <f>SUM(F4:F34)</f>
        <v>479.01000000000005</v>
      </c>
      <c r="G3" s="14"/>
      <c r="H3" s="15">
        <f>SUM(H4:H34)</f>
        <v>842.39</v>
      </c>
      <c r="I3" s="14"/>
      <c r="J3" s="15">
        <f>SUM(J4:J34)</f>
        <v>567.7700000000001</v>
      </c>
      <c r="K3" s="70"/>
      <c r="L3" s="70">
        <f>SUM(L4:L34)</f>
        <v>949.63</v>
      </c>
      <c r="M3" s="14"/>
      <c r="N3" s="15">
        <f>SUM(N4:N34)</f>
        <v>618.79999999999995</v>
      </c>
      <c r="O3" s="14"/>
      <c r="P3" s="15">
        <f>SUM(P4:P34)</f>
        <v>938.95</v>
      </c>
      <c r="Q3" s="14"/>
      <c r="R3" s="15">
        <f>SUM(R4:R34)</f>
        <v>445.92999999999995</v>
      </c>
      <c r="S3" s="14"/>
      <c r="T3" s="15">
        <f>SUM(T4:T34)</f>
        <v>1187.6500000000001</v>
      </c>
      <c r="U3" s="14"/>
      <c r="V3" s="15">
        <f>SUM(V4:V34)</f>
        <v>439.81000000000006</v>
      </c>
      <c r="W3" s="14"/>
      <c r="X3" s="15">
        <f>SUM(X4:X34)</f>
        <v>955.46000000000015</v>
      </c>
      <c r="Y3" s="14"/>
      <c r="Z3" s="15">
        <f>SUM(Z4:Z34)</f>
        <v>449.59</v>
      </c>
      <c r="AA3" s="14"/>
      <c r="AB3" s="15">
        <f>SUM(AB4:AB34)</f>
        <v>1035.2699999999998</v>
      </c>
      <c r="AC3" s="14"/>
      <c r="AD3" s="15">
        <f>SUM(AD4:AD34)</f>
        <v>427.12999999999994</v>
      </c>
      <c r="AE3" s="14"/>
      <c r="AF3" s="15">
        <f>SUM(AF4:AF34)</f>
        <v>839.64</v>
      </c>
      <c r="AG3" s="14"/>
      <c r="AH3" s="15">
        <f>SUM(AH4:AH34)</f>
        <v>438.85</v>
      </c>
      <c r="AI3" s="14"/>
      <c r="AJ3" s="15">
        <f>SUM(AJ4:AJ34)</f>
        <v>993.2600000000001</v>
      </c>
      <c r="AK3" s="14"/>
      <c r="AL3" s="15">
        <f>SUM(AL4:AL34)</f>
        <v>0</v>
      </c>
      <c r="AM3" s="14"/>
      <c r="AN3" s="15">
        <f>SUM(AN4:AN34)</f>
        <v>0</v>
      </c>
      <c r="AO3" s="14"/>
      <c r="AP3" s="15">
        <f>SUM(AP4:AP34)</f>
        <v>0</v>
      </c>
      <c r="AQ3" s="14"/>
      <c r="AR3" s="15">
        <f>SUM(AR4:AR34)</f>
        <v>0</v>
      </c>
      <c r="AS3" s="14"/>
      <c r="AT3" s="15">
        <f>SUM(AT4:AT34)</f>
        <v>0</v>
      </c>
      <c r="AU3" s="14"/>
      <c r="AV3" s="15">
        <f>SUM(AV4:AV34)</f>
        <v>0</v>
      </c>
      <c r="AX3" s="84">
        <f t="shared" ref="AX3:AX33" si="0">SUM(AV3,AT3,AR3,AP3,AN3,AL3,AJ3,AH3,AF3,AD3,AB3,Z3,X3,V3,T3,R3,P3,N3,L3,J3,H3,F3,D3)</f>
        <v>12878.64</v>
      </c>
      <c r="AY3" s="15">
        <f t="shared" ref="AY3:AY33" si="1">AX3/1.055</f>
        <v>12207.241706161138</v>
      </c>
    </row>
    <row r="4" spans="1:51" x14ac:dyDescent="0.25">
      <c r="A4" s="19" t="s">
        <v>25</v>
      </c>
      <c r="B4" s="20" t="s">
        <v>26</v>
      </c>
      <c r="C4" s="21">
        <f>26+2*15+3*12</f>
        <v>92</v>
      </c>
      <c r="D4" s="2">
        <f>101.4+117+132</f>
        <v>350.4</v>
      </c>
      <c r="E4" s="21">
        <v>154</v>
      </c>
      <c r="F4" s="22">
        <v>199.8</v>
      </c>
      <c r="G4" s="21">
        <f>22+2*10+3*10</f>
        <v>72</v>
      </c>
      <c r="H4" s="22">
        <f>85.8+78+110</f>
        <v>273.8</v>
      </c>
      <c r="I4" s="21">
        <v>59</v>
      </c>
      <c r="J4" s="22">
        <v>218.3</v>
      </c>
      <c r="K4" s="72">
        <f>14+2*14+16*3</f>
        <v>90</v>
      </c>
      <c r="L4" s="73">
        <f>54.6+101.44+176</f>
        <v>332.03999999999996</v>
      </c>
      <c r="M4" s="21">
        <v>78</v>
      </c>
      <c r="N4" s="22">
        <v>288.60000000000002</v>
      </c>
      <c r="O4" s="21">
        <f>26+2*7+3*19</f>
        <v>97</v>
      </c>
      <c r="P4" s="22">
        <f>97.89+54.6+198.06</f>
        <v>350.55</v>
      </c>
      <c r="Q4" s="21">
        <v>48</v>
      </c>
      <c r="R4" s="22">
        <v>177.6</v>
      </c>
      <c r="S4" s="21">
        <f>22+2*13+3*14</f>
        <v>90</v>
      </c>
      <c r="T4" s="22">
        <f>85.8+101.4+154</f>
        <v>341.2</v>
      </c>
      <c r="U4" s="21">
        <v>55</v>
      </c>
      <c r="V4" s="22">
        <v>203.5</v>
      </c>
      <c r="W4" s="21">
        <f>30+2*6+3*12</f>
        <v>78</v>
      </c>
      <c r="X4" s="22">
        <f>112.31+46.8+121.11</f>
        <v>280.22000000000003</v>
      </c>
      <c r="Y4" s="21">
        <v>56</v>
      </c>
      <c r="Z4" s="22">
        <v>207.2</v>
      </c>
      <c r="AA4" s="21">
        <f>22+11*2+11*3</f>
        <v>77</v>
      </c>
      <c r="AB4" s="22">
        <f>84.4+85.8+121</f>
        <v>291.2</v>
      </c>
      <c r="AC4" s="21">
        <v>47</v>
      </c>
      <c r="AD4" s="22">
        <v>173.9</v>
      </c>
      <c r="AE4" s="21">
        <f>14+2*8+3*7</f>
        <v>51</v>
      </c>
      <c r="AF4" s="22">
        <f>50.72+62.4+77</f>
        <v>190.12</v>
      </c>
      <c r="AG4" s="21">
        <v>49</v>
      </c>
      <c r="AH4" s="22">
        <v>181.3</v>
      </c>
      <c r="AI4" s="21">
        <f>18+2*7+3*9</f>
        <v>59</v>
      </c>
      <c r="AJ4" s="22">
        <f>70.2+54.6+99</f>
        <v>223.8</v>
      </c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4283.5300000000007</v>
      </c>
      <c r="AY4" s="22">
        <f t="shared" si="1"/>
        <v>4060.218009478674</v>
      </c>
    </row>
    <row r="5" spans="1:51" x14ac:dyDescent="0.25">
      <c r="A5" s="19" t="s">
        <v>27</v>
      </c>
      <c r="B5" s="20" t="s">
        <v>26</v>
      </c>
      <c r="C5" s="21">
        <f>12+2*3+3*11</f>
        <v>51</v>
      </c>
      <c r="D5" s="22">
        <f>43.2+21.6+110+35</f>
        <v>209.8</v>
      </c>
      <c r="E5" s="21">
        <v>23</v>
      </c>
      <c r="F5" s="22">
        <v>78.2</v>
      </c>
      <c r="G5" s="21">
        <f>16+2*4+3*12</f>
        <v>60</v>
      </c>
      <c r="H5" s="22">
        <f>57.6+28.8+120</f>
        <v>206.4</v>
      </c>
      <c r="I5" s="21">
        <v>32</v>
      </c>
      <c r="J5" s="22">
        <f>108.8+14</f>
        <v>122.8</v>
      </c>
      <c r="K5" s="72">
        <f>20+2*5+3*7</f>
        <v>51</v>
      </c>
      <c r="L5" s="73">
        <f>72+36+70</f>
        <v>178</v>
      </c>
      <c r="M5" s="21">
        <v>24</v>
      </c>
      <c r="N5" s="22">
        <f>81.6+12</f>
        <v>93.6</v>
      </c>
      <c r="O5" s="21">
        <f>18+2*2+3*6</f>
        <v>40</v>
      </c>
      <c r="P5" s="22">
        <f>64.8+14.4+60</f>
        <v>139.19999999999999</v>
      </c>
      <c r="Q5" s="21">
        <v>32</v>
      </c>
      <c r="R5" s="22">
        <v>108.8</v>
      </c>
      <c r="S5" s="21">
        <f>23+2*5+3*14</f>
        <v>75</v>
      </c>
      <c r="T5" s="22">
        <f>82.8+36+140</f>
        <v>258.8</v>
      </c>
      <c r="U5" s="21">
        <v>23</v>
      </c>
      <c r="V5" s="22">
        <v>74.8</v>
      </c>
      <c r="W5" s="21">
        <f>22+4*2+3*10</f>
        <v>60</v>
      </c>
      <c r="X5" s="2">
        <f>79.2+28.8+100</f>
        <v>208</v>
      </c>
      <c r="Y5" s="21">
        <v>13</v>
      </c>
      <c r="Z5" s="22">
        <v>44.2</v>
      </c>
      <c r="AA5" s="21">
        <f>21+2*3+3*12</f>
        <v>63</v>
      </c>
      <c r="AB5" s="22">
        <f>75.6+21.6+120+19</f>
        <v>236.2</v>
      </c>
      <c r="AC5" s="21">
        <v>17</v>
      </c>
      <c r="AD5" s="22">
        <v>57.8</v>
      </c>
      <c r="AE5" s="21">
        <f>15+2*4+3*4</f>
        <v>35</v>
      </c>
      <c r="AF5" s="22">
        <f>54+28.8+40</f>
        <v>122.8</v>
      </c>
      <c r="AG5" s="21">
        <v>23</v>
      </c>
      <c r="AH5" s="22">
        <v>78.2</v>
      </c>
      <c r="AI5" s="21">
        <f>21+2*7+3*9</f>
        <v>62</v>
      </c>
      <c r="AJ5" s="22">
        <f>75.6+50.4+90</f>
        <v>216</v>
      </c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ref="AX5:AX23" si="2">SUM(AV5,AT5,AR5,AP5,AN5,AL5,AJ5,AH5,AF5,AD5,AB5,Z5,X5,V5,T5,R5,P5,N5,L5,J5,H5,F5,D5)</f>
        <v>2433.6</v>
      </c>
      <c r="AY5" s="22">
        <f t="shared" si="1"/>
        <v>2306.7298578199052</v>
      </c>
    </row>
    <row r="6" spans="1:51" x14ac:dyDescent="0.25">
      <c r="A6" s="19" t="s">
        <v>226</v>
      </c>
      <c r="B6" s="20" t="s">
        <v>26</v>
      </c>
      <c r="C6" s="21">
        <f>27+3*5</f>
        <v>42</v>
      </c>
      <c r="D6" s="22">
        <f>94.5+50+20</f>
        <v>164.5</v>
      </c>
      <c r="E6" s="21">
        <v>6</v>
      </c>
      <c r="F6" s="22">
        <v>18.3</v>
      </c>
      <c r="G6" s="21">
        <f>4+3*1</f>
        <v>7</v>
      </c>
      <c r="H6" s="22">
        <f>14+10</f>
        <v>24</v>
      </c>
      <c r="I6" s="21"/>
      <c r="J6" s="22"/>
      <c r="K6" s="72">
        <f>6</f>
        <v>6</v>
      </c>
      <c r="L6" s="73">
        <v>21</v>
      </c>
      <c r="M6" s="21"/>
      <c r="N6" s="22"/>
      <c r="O6" s="21"/>
      <c r="P6" s="22"/>
      <c r="Q6" s="21"/>
      <c r="R6" s="22"/>
      <c r="S6" s="21">
        <f>3+3</f>
        <v>6</v>
      </c>
      <c r="T6" s="22">
        <f>10.5+10</f>
        <v>20.5</v>
      </c>
      <c r="U6" s="21"/>
      <c r="V6" s="22"/>
      <c r="W6" s="21"/>
      <c r="X6" s="22"/>
      <c r="Y6" s="21"/>
      <c r="Z6" s="22"/>
      <c r="AA6" s="21"/>
      <c r="AB6" s="22"/>
      <c r="AC6" s="21"/>
      <c r="AD6" s="22"/>
      <c r="AE6" s="21">
        <f>7+1*3</f>
        <v>10</v>
      </c>
      <c r="AF6" s="22">
        <f>24.5+10</f>
        <v>34.5</v>
      </c>
      <c r="AG6" s="21"/>
      <c r="AH6" s="22"/>
      <c r="AI6" s="72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2"/>
        <v>282.8</v>
      </c>
      <c r="AY6" s="22">
        <f t="shared" si="1"/>
        <v>268.05687203791473</v>
      </c>
    </row>
    <row r="7" spans="1:51" x14ac:dyDescent="0.25">
      <c r="A7" s="19" t="s">
        <v>28</v>
      </c>
      <c r="B7" s="20" t="s">
        <v>26</v>
      </c>
      <c r="C7" s="21">
        <v>8</v>
      </c>
      <c r="D7" s="22">
        <f>84+42.8+20</f>
        <v>146.80000000000001</v>
      </c>
      <c r="E7" s="21">
        <v>18</v>
      </c>
      <c r="F7" s="22">
        <f>55.8+14</f>
        <v>69.8</v>
      </c>
      <c r="G7" s="21">
        <v>1</v>
      </c>
      <c r="H7" s="22">
        <v>10.5</v>
      </c>
      <c r="I7" s="21">
        <v>8</v>
      </c>
      <c r="J7" s="22">
        <v>24.8</v>
      </c>
      <c r="K7" s="72">
        <v>2</v>
      </c>
      <c r="L7" s="73">
        <v>21</v>
      </c>
      <c r="M7" s="21">
        <v>7</v>
      </c>
      <c r="N7" s="22">
        <v>21.7</v>
      </c>
      <c r="O7" s="21">
        <v>3</v>
      </c>
      <c r="P7" s="22">
        <v>31.5</v>
      </c>
      <c r="Q7" s="21"/>
      <c r="R7" s="22"/>
      <c r="S7" s="21">
        <v>6</v>
      </c>
      <c r="T7" s="22">
        <v>63</v>
      </c>
      <c r="U7" s="21">
        <v>6</v>
      </c>
      <c r="V7" s="22">
        <v>18.600000000000001</v>
      </c>
      <c r="W7" s="21">
        <v>3</v>
      </c>
      <c r="X7" s="22">
        <v>31.5</v>
      </c>
      <c r="Y7" s="21"/>
      <c r="Z7" s="22"/>
      <c r="AA7" s="21">
        <v>4</v>
      </c>
      <c r="AB7" s="22">
        <v>42</v>
      </c>
      <c r="AC7" s="21"/>
      <c r="AD7" s="22"/>
      <c r="AE7" s="21">
        <v>1</v>
      </c>
      <c r="AF7" s="22">
        <f>10.5+21.89</f>
        <v>32.39</v>
      </c>
      <c r="AG7" s="21"/>
      <c r="AH7" s="22"/>
      <c r="AI7" s="24">
        <v>3</v>
      </c>
      <c r="AJ7" s="22">
        <v>31.5</v>
      </c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2"/>
        <v>545.09</v>
      </c>
      <c r="AY7" s="22">
        <f t="shared" si="1"/>
        <v>516.67298578199063</v>
      </c>
    </row>
    <row r="8" spans="1:51" x14ac:dyDescent="0.25">
      <c r="A8" s="19" t="s">
        <v>29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>
        <f>40</f>
        <v>40</v>
      </c>
      <c r="Y8" s="21"/>
      <c r="Z8" s="22"/>
      <c r="AA8" s="21"/>
      <c r="AB8" s="22">
        <f>4+12+4+4+8+2</f>
        <v>34</v>
      </c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2"/>
        <v>74</v>
      </c>
      <c r="AY8" s="22">
        <f t="shared" si="1"/>
        <v>70.142180094786738</v>
      </c>
    </row>
    <row r="9" spans="1:51" x14ac:dyDescent="0.25">
      <c r="A9" s="19" t="s">
        <v>102</v>
      </c>
      <c r="B9" s="20" t="s">
        <v>26</v>
      </c>
      <c r="C9" s="21"/>
      <c r="D9" s="22"/>
      <c r="E9" s="21"/>
      <c r="F9" s="22"/>
      <c r="G9" s="21"/>
      <c r="H9" s="22"/>
      <c r="I9" s="21">
        <v>4</v>
      </c>
      <c r="J9" s="22">
        <v>14</v>
      </c>
      <c r="K9" s="85"/>
      <c r="L9" s="73"/>
      <c r="M9" s="21">
        <v>1</v>
      </c>
      <c r="N9" s="22">
        <v>3.5</v>
      </c>
      <c r="O9" s="21"/>
      <c r="P9" s="22"/>
      <c r="Q9" s="21"/>
      <c r="R9" s="22">
        <v>3.5</v>
      </c>
      <c r="S9" s="21"/>
      <c r="T9" s="22"/>
      <c r="U9" s="21">
        <v>1</v>
      </c>
      <c r="V9" s="22">
        <v>3.5</v>
      </c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>
        <v>1</v>
      </c>
      <c r="AH9" s="22">
        <v>3.5</v>
      </c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2"/>
        <v>28</v>
      </c>
      <c r="AY9" s="22">
        <f t="shared" si="1"/>
        <v>26.540284360189574</v>
      </c>
    </row>
    <row r="10" spans="1:51" x14ac:dyDescent="0.25">
      <c r="A10" s="19" t="s">
        <v>104</v>
      </c>
      <c r="B10" s="20" t="s">
        <v>26</v>
      </c>
      <c r="C10" s="21"/>
      <c r="D10" s="22"/>
      <c r="E10" s="21">
        <v>1</v>
      </c>
      <c r="F10" s="22">
        <v>3.2</v>
      </c>
      <c r="G10" s="21">
        <v>7</v>
      </c>
      <c r="H10" s="22">
        <v>20.3</v>
      </c>
      <c r="I10" s="21">
        <v>5</v>
      </c>
      <c r="J10" s="22">
        <v>16</v>
      </c>
      <c r="K10" s="101">
        <v>7</v>
      </c>
      <c r="L10" s="73">
        <v>20.3</v>
      </c>
      <c r="M10" s="21">
        <v>1</v>
      </c>
      <c r="N10" s="22">
        <v>3.2</v>
      </c>
      <c r="O10" s="21">
        <v>8</v>
      </c>
      <c r="P10" s="22">
        <v>23.2</v>
      </c>
      <c r="Q10" s="21">
        <v>5</v>
      </c>
      <c r="R10" s="22">
        <f>16+8</f>
        <v>24</v>
      </c>
      <c r="S10" s="21">
        <v>10</v>
      </c>
      <c r="T10" s="22">
        <v>29</v>
      </c>
      <c r="U10" s="21">
        <v>3</v>
      </c>
      <c r="V10" s="22">
        <v>9.6</v>
      </c>
      <c r="W10" s="21">
        <v>8</v>
      </c>
      <c r="X10" s="22">
        <v>23.2</v>
      </c>
      <c r="Y10" s="21">
        <v>2</v>
      </c>
      <c r="Z10" s="22">
        <v>6.4</v>
      </c>
      <c r="AA10" s="21">
        <v>12</v>
      </c>
      <c r="AB10" s="22">
        <v>34.799999999999997</v>
      </c>
      <c r="AC10" s="21">
        <v>1</v>
      </c>
      <c r="AD10" s="22">
        <v>3.2</v>
      </c>
      <c r="AE10" s="21">
        <v>5</v>
      </c>
      <c r="AF10" s="22">
        <v>14.5</v>
      </c>
      <c r="AG10" s="21">
        <v>2</v>
      </c>
      <c r="AH10" s="22">
        <v>6.4</v>
      </c>
      <c r="AI10" s="21">
        <v>7</v>
      </c>
      <c r="AJ10" s="22">
        <v>20.3</v>
      </c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2"/>
        <v>257.60000000000002</v>
      </c>
      <c r="AY10" s="22">
        <f t="shared" si="1"/>
        <v>244.1706161137441</v>
      </c>
    </row>
    <row r="11" spans="1:51" x14ac:dyDescent="0.25">
      <c r="A11" s="19" t="s">
        <v>31</v>
      </c>
      <c r="B11" s="20" t="s">
        <v>26</v>
      </c>
      <c r="C11" s="21"/>
      <c r="D11" s="22"/>
      <c r="E11" s="21">
        <v>7</v>
      </c>
      <c r="F11" s="22">
        <v>24.5</v>
      </c>
      <c r="G11" s="21">
        <v>19</v>
      </c>
      <c r="H11" s="22">
        <v>66.5</v>
      </c>
      <c r="I11" s="21">
        <v>10</v>
      </c>
      <c r="J11" s="22">
        <v>35</v>
      </c>
      <c r="K11" s="72">
        <v>25</v>
      </c>
      <c r="L11" s="73">
        <v>84.18</v>
      </c>
      <c r="M11" s="21">
        <v>8</v>
      </c>
      <c r="N11" s="22">
        <v>8</v>
      </c>
      <c r="O11" s="21">
        <v>21</v>
      </c>
      <c r="P11" s="22">
        <v>73.5</v>
      </c>
      <c r="Q11" s="21">
        <v>3</v>
      </c>
      <c r="R11" s="22">
        <v>10.5</v>
      </c>
      <c r="S11" s="21">
        <v>20</v>
      </c>
      <c r="T11" s="22">
        <v>70</v>
      </c>
      <c r="U11" s="21">
        <v>4</v>
      </c>
      <c r="V11" s="22">
        <v>14</v>
      </c>
      <c r="W11" s="21">
        <v>15</v>
      </c>
      <c r="X11" s="22">
        <v>52.5</v>
      </c>
      <c r="Y11" s="21">
        <v>2</v>
      </c>
      <c r="Z11" s="22">
        <v>7</v>
      </c>
      <c r="AA11" s="21">
        <v>2</v>
      </c>
      <c r="AB11" s="22">
        <v>7</v>
      </c>
      <c r="AC11" s="21">
        <v>1</v>
      </c>
      <c r="AD11" s="22">
        <v>3.5</v>
      </c>
      <c r="AE11" s="21">
        <v>7</v>
      </c>
      <c r="AF11" s="22">
        <v>24.5</v>
      </c>
      <c r="AG11" s="21">
        <v>1</v>
      </c>
      <c r="AH11" s="22">
        <v>3.5</v>
      </c>
      <c r="AI11" s="21">
        <v>2</v>
      </c>
      <c r="AJ11" s="22">
        <v>7</v>
      </c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2"/>
        <v>491.18</v>
      </c>
      <c r="AY11" s="22">
        <f t="shared" si="1"/>
        <v>465.57345971563984</v>
      </c>
    </row>
    <row r="12" spans="1:51" x14ac:dyDescent="0.25">
      <c r="A12" s="19" t="s">
        <v>103</v>
      </c>
      <c r="B12" s="20" t="s">
        <v>26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1"/>
      <c r="P12" s="22"/>
      <c r="Q12" s="21">
        <v>3</v>
      </c>
      <c r="R12" s="22">
        <v>9.6</v>
      </c>
      <c r="S12" s="21">
        <v>4</v>
      </c>
      <c r="T12" s="22">
        <v>11.6</v>
      </c>
      <c r="U12" s="21">
        <v>2</v>
      </c>
      <c r="V12" s="22">
        <v>6.4</v>
      </c>
      <c r="W12" s="21">
        <v>9</v>
      </c>
      <c r="X12" s="22">
        <v>26.1</v>
      </c>
      <c r="Y12" s="21">
        <v>3</v>
      </c>
      <c r="Z12" s="22">
        <v>9.6</v>
      </c>
      <c r="AA12" s="21">
        <v>19</v>
      </c>
      <c r="AB12" s="22">
        <v>55.1</v>
      </c>
      <c r="AC12" s="21">
        <v>1</v>
      </c>
      <c r="AD12" s="22">
        <v>3.2</v>
      </c>
      <c r="AE12" s="21">
        <v>4</v>
      </c>
      <c r="AF12" s="22">
        <v>11.6</v>
      </c>
      <c r="AG12" s="21">
        <v>3</v>
      </c>
      <c r="AH12" s="22">
        <v>9.6</v>
      </c>
      <c r="AI12" s="21">
        <v>14</v>
      </c>
      <c r="AJ12" s="22">
        <v>40.6</v>
      </c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2"/>
        <v>183.39999999999998</v>
      </c>
      <c r="AY12" s="22">
        <f t="shared" si="1"/>
        <v>173.8388625592417</v>
      </c>
    </row>
    <row r="13" spans="1:51" x14ac:dyDescent="0.25">
      <c r="A13" s="19" t="s">
        <v>32</v>
      </c>
      <c r="B13" s="20" t="s">
        <v>106</v>
      </c>
      <c r="C13" s="21"/>
      <c r="D13" s="22"/>
      <c r="E13" s="21"/>
      <c r="F13" s="22">
        <v>79.41</v>
      </c>
      <c r="G13" s="21"/>
      <c r="H13" s="22"/>
      <c r="I13" s="21"/>
      <c r="J13" s="22">
        <f>69.17+59</f>
        <v>128.17000000000002</v>
      </c>
      <c r="K13" s="85"/>
      <c r="L13" s="73"/>
      <c r="M13" s="21"/>
      <c r="N13" s="22">
        <f>119.4+75</f>
        <v>194.4</v>
      </c>
      <c r="O13" s="25"/>
      <c r="P13" s="22"/>
      <c r="Q13" s="21"/>
      <c r="R13" s="22">
        <v>68.44</v>
      </c>
      <c r="S13" s="99"/>
      <c r="T13" s="22"/>
      <c r="U13" s="99"/>
      <c r="V13" s="22">
        <f>65.36+18</f>
        <v>83.36</v>
      </c>
      <c r="W13" s="99"/>
      <c r="X13" s="22"/>
      <c r="Y13" s="99"/>
      <c r="Z13" s="22">
        <f>111.35+5</f>
        <v>116.35</v>
      </c>
      <c r="AA13" s="99"/>
      <c r="AB13" s="22"/>
      <c r="AC13" s="100"/>
      <c r="AD13" s="22">
        <v>64.41</v>
      </c>
      <c r="AE13" s="99"/>
      <c r="AF13" s="22"/>
      <c r="AG13" s="21"/>
      <c r="AH13" s="22">
        <v>40.229999999999997</v>
      </c>
      <c r="AI13" s="21"/>
      <c r="AJ13" s="22"/>
      <c r="AK13" s="21"/>
      <c r="AL13" s="22"/>
      <c r="AM13" s="21"/>
      <c r="AN13" s="22"/>
      <c r="AO13" s="21"/>
      <c r="AP13" s="22"/>
      <c r="AQ13" s="21"/>
      <c r="AR13" s="22"/>
      <c r="AS13" s="21"/>
      <c r="AT13" s="22"/>
      <c r="AU13" s="21"/>
      <c r="AV13" s="22"/>
      <c r="AW13"/>
      <c r="AX13" s="74">
        <f t="shared" si="2"/>
        <v>774.76999999999987</v>
      </c>
      <c r="AY13" s="22">
        <f t="shared" si="1"/>
        <v>734.37914691943115</v>
      </c>
    </row>
    <row r="14" spans="1:51" x14ac:dyDescent="0.25">
      <c r="A14" s="19" t="s">
        <v>107</v>
      </c>
      <c r="B14" s="20" t="s">
        <v>34</v>
      </c>
      <c r="C14" s="21">
        <v>44.21</v>
      </c>
      <c r="D14" s="22">
        <v>398</v>
      </c>
      <c r="E14" s="21"/>
      <c r="F14" s="22"/>
      <c r="G14" s="21">
        <v>14.605</v>
      </c>
      <c r="H14" s="22">
        <v>131.5</v>
      </c>
      <c r="I14" s="21"/>
      <c r="J14" s="22"/>
      <c r="K14" s="85">
        <v>12.81</v>
      </c>
      <c r="L14" s="73">
        <v>115.35</v>
      </c>
      <c r="M14" s="21"/>
      <c r="N14" s="22"/>
      <c r="O14" s="25">
        <v>16.815000000000001</v>
      </c>
      <c r="P14" s="22">
        <f>135.96+38</f>
        <v>173.96</v>
      </c>
      <c r="Q14" s="25"/>
      <c r="R14" s="22"/>
      <c r="S14" s="25">
        <v>21.14</v>
      </c>
      <c r="T14" s="22">
        <f>169.12+70</f>
        <v>239.12</v>
      </c>
      <c r="U14" s="99"/>
      <c r="V14" s="22"/>
      <c r="W14" s="99">
        <v>18.545000000000002</v>
      </c>
      <c r="X14" s="22">
        <v>148.36000000000001</v>
      </c>
      <c r="Y14" s="99"/>
      <c r="Z14" s="22"/>
      <c r="AA14" s="99">
        <v>11.33</v>
      </c>
      <c r="AB14" s="22">
        <f>90.64+20</f>
        <v>110.64</v>
      </c>
      <c r="AC14" s="100"/>
      <c r="AD14" s="22"/>
      <c r="AE14" s="99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2"/>
        <v>1316.93</v>
      </c>
      <c r="AY14" s="22">
        <f t="shared" si="1"/>
        <v>1248.2748815165878</v>
      </c>
    </row>
    <row r="15" spans="1:51" x14ac:dyDescent="0.25">
      <c r="A15" s="19" t="s">
        <v>108</v>
      </c>
      <c r="B15" s="20" t="s">
        <v>109</v>
      </c>
      <c r="C15" s="21"/>
      <c r="D15" s="22"/>
      <c r="E15" s="21"/>
      <c r="F15" s="22"/>
      <c r="G15" s="21">
        <v>11.595000000000001</v>
      </c>
      <c r="H15" s="22">
        <v>92.76</v>
      </c>
      <c r="I15" s="25"/>
      <c r="J15" s="22"/>
      <c r="K15" s="85">
        <v>22.22</v>
      </c>
      <c r="L15" s="73">
        <v>177.76</v>
      </c>
      <c r="M15" s="21"/>
      <c r="N15" s="22"/>
      <c r="O15" s="21">
        <v>14.54</v>
      </c>
      <c r="P15" s="22">
        <v>101.84</v>
      </c>
      <c r="Q15" s="25"/>
      <c r="R15" s="22"/>
      <c r="S15" s="25">
        <v>17.625</v>
      </c>
      <c r="T15" s="22">
        <v>123.43</v>
      </c>
      <c r="U15" s="25"/>
      <c r="V15" s="22"/>
      <c r="W15" s="21">
        <v>3.36</v>
      </c>
      <c r="X15" s="22">
        <f>23.54+40</f>
        <v>63.54</v>
      </c>
      <c r="Y15" s="21"/>
      <c r="Z15" s="22"/>
      <c r="AA15" s="25">
        <v>16.734999999999999</v>
      </c>
      <c r="AB15" s="22">
        <v>117.23</v>
      </c>
      <c r="AC15" s="21"/>
      <c r="AD15" s="22"/>
      <c r="AE15" s="21">
        <v>21.04</v>
      </c>
      <c r="AF15" s="22">
        <v>147.36000000000001</v>
      </c>
      <c r="AG15" s="25"/>
      <c r="AH15" s="22"/>
      <c r="AI15" s="21">
        <v>21.405000000000001</v>
      </c>
      <c r="AJ15" s="22">
        <v>149.93</v>
      </c>
      <c r="AK15" s="25"/>
      <c r="AL15" s="22"/>
      <c r="AM15" s="21"/>
      <c r="AN15" s="22"/>
      <c r="AO15" s="25"/>
      <c r="AP15" s="22"/>
      <c r="AQ15" s="21"/>
      <c r="AR15" s="22"/>
      <c r="AS15" s="21"/>
      <c r="AT15" s="22"/>
      <c r="AU15" s="25"/>
      <c r="AV15" s="22"/>
      <c r="AW15"/>
      <c r="AX15" s="74">
        <f t="shared" si="2"/>
        <v>973.85</v>
      </c>
      <c r="AY15" s="22">
        <f t="shared" si="1"/>
        <v>923.08056872037923</v>
      </c>
    </row>
    <row r="16" spans="1:51" x14ac:dyDescent="0.25">
      <c r="A16" s="19" t="s">
        <v>33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2"/>
        <v>0</v>
      </c>
      <c r="AY16" s="22">
        <f t="shared" si="1"/>
        <v>0</v>
      </c>
    </row>
    <row r="17" spans="1:51" x14ac:dyDescent="0.25">
      <c r="A17" s="19" t="s">
        <v>35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2"/>
        <v>0</v>
      </c>
      <c r="AY17" s="22">
        <f t="shared" si="1"/>
        <v>0</v>
      </c>
    </row>
    <row r="18" spans="1:51" x14ac:dyDescent="0.25">
      <c r="A18" s="19" t="s">
        <v>36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2"/>
        <v>0</v>
      </c>
      <c r="AY18" s="22">
        <f t="shared" si="1"/>
        <v>0</v>
      </c>
    </row>
    <row r="19" spans="1:51" x14ac:dyDescent="0.25">
      <c r="A19" s="19" t="s">
        <v>37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>
        <v>6.1749999999999998</v>
      </c>
      <c r="P19" s="22">
        <v>27.8</v>
      </c>
      <c r="Q19" s="25"/>
      <c r="R19" s="22">
        <v>6.57</v>
      </c>
      <c r="S19" s="25"/>
      <c r="T19" s="22"/>
      <c r="U19" s="25"/>
      <c r="V19" s="22">
        <v>6.3</v>
      </c>
      <c r="W19" s="25">
        <v>3.0950000000000002</v>
      </c>
      <c r="X19" s="22">
        <v>13.94</v>
      </c>
      <c r="Y19" s="25"/>
      <c r="Z19" s="22">
        <v>27.46</v>
      </c>
      <c r="AA19" s="25">
        <v>8.1649999999999991</v>
      </c>
      <c r="AB19" s="22">
        <v>36.76</v>
      </c>
      <c r="AC19" s="25"/>
      <c r="AD19" s="22">
        <v>22.33</v>
      </c>
      <c r="AE19" s="25">
        <v>3.8450000000000002</v>
      </c>
      <c r="AF19" s="22">
        <v>17.329999999999998</v>
      </c>
      <c r="AG19" s="25"/>
      <c r="AH19" s="22">
        <v>8.6999999999999993</v>
      </c>
      <c r="AI19" s="25">
        <v>6.2149999999999999</v>
      </c>
      <c r="AJ19" s="22">
        <v>27.98</v>
      </c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2"/>
        <v>195.17000000000002</v>
      </c>
      <c r="AY19" s="22">
        <f t="shared" si="1"/>
        <v>184.99526066350714</v>
      </c>
    </row>
    <row r="20" spans="1:51" x14ac:dyDescent="0.25">
      <c r="A20" s="19" t="s">
        <v>38</v>
      </c>
      <c r="B20" s="20" t="s">
        <v>34</v>
      </c>
      <c r="C20" s="25"/>
      <c r="D20" s="22"/>
      <c r="E20" s="25"/>
      <c r="F20" s="22"/>
      <c r="G20" s="25"/>
      <c r="H20" s="22"/>
      <c r="I20" s="25"/>
      <c r="J20" s="22"/>
      <c r="K20" s="85"/>
      <c r="L20" s="73"/>
      <c r="M20" s="25"/>
      <c r="N20" s="22"/>
      <c r="O20" s="25"/>
      <c r="P20" s="22"/>
      <c r="Q20" s="25"/>
      <c r="R20" s="22"/>
      <c r="S20" s="25"/>
      <c r="T20" s="22"/>
      <c r="U20" s="25"/>
      <c r="V20" s="22"/>
      <c r="W20" s="25"/>
      <c r="X20" s="22"/>
      <c r="Y20" s="25"/>
      <c r="Z20" s="22"/>
      <c r="AA20" s="25"/>
      <c r="AB20" s="22"/>
      <c r="AC20" s="25"/>
      <c r="AD20" s="22"/>
      <c r="AE20" s="25"/>
      <c r="AF20" s="22"/>
      <c r="AG20" s="25"/>
      <c r="AH20" s="22"/>
      <c r="AI20" s="25"/>
      <c r="AJ20" s="22"/>
      <c r="AK20" s="25"/>
      <c r="AL20" s="22"/>
      <c r="AM20" s="25"/>
      <c r="AN20" s="22"/>
      <c r="AO20" s="25"/>
      <c r="AP20" s="22"/>
      <c r="AQ20" s="25"/>
      <c r="AR20" s="22"/>
      <c r="AS20" s="25"/>
      <c r="AT20" s="22"/>
      <c r="AU20" s="25"/>
      <c r="AV20" s="22"/>
      <c r="AW20"/>
      <c r="AX20" s="74">
        <f t="shared" si="2"/>
        <v>0</v>
      </c>
      <c r="AY20" s="22">
        <f t="shared" si="1"/>
        <v>0</v>
      </c>
    </row>
    <row r="21" spans="1:51" x14ac:dyDescent="0.25">
      <c r="A21" s="19" t="s">
        <v>39</v>
      </c>
      <c r="B21" s="20" t="s">
        <v>34</v>
      </c>
      <c r="C21"/>
      <c r="D21" s="22"/>
      <c r="E21"/>
      <c r="F21" s="22"/>
      <c r="G21"/>
      <c r="H21" s="22"/>
      <c r="I21"/>
      <c r="J21" s="22"/>
      <c r="K21" s="85"/>
      <c r="L21" s="22"/>
      <c r="M21"/>
      <c r="N21" s="22"/>
      <c r="O21"/>
      <c r="P21" s="22"/>
      <c r="Q21"/>
      <c r="R21" s="22"/>
      <c r="S21"/>
      <c r="T21" s="22"/>
      <c r="U21"/>
      <c r="V21" s="22">
        <v>3.5</v>
      </c>
      <c r="W21"/>
      <c r="X21" s="22">
        <v>30</v>
      </c>
      <c r="Y21"/>
      <c r="Z21" s="22">
        <v>15.08</v>
      </c>
      <c r="AA21">
        <v>7.2050000000000001</v>
      </c>
      <c r="AB21" s="22">
        <f>41.79+5.85+4.4</f>
        <v>52.04</v>
      </c>
      <c r="AC21"/>
      <c r="AD21" s="22">
        <v>61.09</v>
      </c>
      <c r="AE21">
        <v>20.69</v>
      </c>
      <c r="AF21" s="22">
        <v>120.05</v>
      </c>
      <c r="AG21"/>
      <c r="AH21" s="22">
        <v>54.04</v>
      </c>
      <c r="AI21">
        <v>26.364999999999998</v>
      </c>
      <c r="AJ21" s="22">
        <v>152.96</v>
      </c>
      <c r="AK21"/>
      <c r="AL21" s="22"/>
      <c r="AM21"/>
      <c r="AN21" s="22"/>
      <c r="AO21"/>
      <c r="AP21" s="22"/>
      <c r="AQ21"/>
      <c r="AR21" s="22"/>
      <c r="AS21"/>
      <c r="AT21" s="22"/>
      <c r="AU21"/>
      <c r="AV21" s="22"/>
      <c r="AW21"/>
      <c r="AX21" s="74">
        <f t="shared" si="2"/>
        <v>488.76</v>
      </c>
      <c r="AY21" s="22">
        <f t="shared" si="1"/>
        <v>463.27962085308059</v>
      </c>
    </row>
    <row r="22" spans="1:51" x14ac:dyDescent="0.25">
      <c r="A22" s="19" t="s">
        <v>40</v>
      </c>
      <c r="B22" s="20" t="s">
        <v>34</v>
      </c>
      <c r="C22" s="25"/>
      <c r="D22" s="22"/>
      <c r="E22" s="25"/>
      <c r="F22" s="22"/>
      <c r="G22" s="25"/>
      <c r="H22" s="22"/>
      <c r="I22" s="25"/>
      <c r="J22" s="22"/>
      <c r="K22" s="85"/>
      <c r="L22" s="73"/>
      <c r="M22" s="25"/>
      <c r="N22" s="22"/>
      <c r="O22" s="25"/>
      <c r="P22" s="22"/>
      <c r="Q22" s="25"/>
      <c r="R22" s="22"/>
      <c r="S22" s="25"/>
      <c r="T22" s="22"/>
      <c r="U22" s="25"/>
      <c r="V22" s="22"/>
      <c r="W22" s="25"/>
      <c r="X22" s="22"/>
      <c r="Y22" s="25"/>
      <c r="Z22" s="22"/>
      <c r="AA22" s="25"/>
      <c r="AB22" s="22"/>
      <c r="AC22" s="25"/>
      <c r="AD22" s="22">
        <v>34.799999999999997</v>
      </c>
      <c r="AE22" s="25" t="s">
        <v>263</v>
      </c>
      <c r="AF22" s="22">
        <f>67.69+1.96</f>
        <v>69.649999999999991</v>
      </c>
      <c r="AG22" s="25"/>
      <c r="AH22" s="22">
        <v>40.1</v>
      </c>
      <c r="AI22" s="25">
        <v>17.225000000000001</v>
      </c>
      <c r="AJ22" s="22">
        <v>85.27</v>
      </c>
      <c r="AK22" s="25"/>
      <c r="AL22" s="22"/>
      <c r="AM22" s="25"/>
      <c r="AN22" s="22"/>
      <c r="AO22" s="25"/>
      <c r="AP22" s="22"/>
      <c r="AQ22" s="25"/>
      <c r="AR22" s="22"/>
      <c r="AS22" s="25"/>
      <c r="AT22" s="22"/>
      <c r="AU22" s="25"/>
      <c r="AV22" s="22"/>
      <c r="AW22"/>
      <c r="AX22" s="74">
        <f t="shared" si="2"/>
        <v>229.82</v>
      </c>
      <c r="AY22" s="22">
        <f t="shared" si="1"/>
        <v>217.8388625592417</v>
      </c>
    </row>
    <row r="23" spans="1:51" x14ac:dyDescent="0.25">
      <c r="A23" s="19" t="s">
        <v>30</v>
      </c>
      <c r="B23" s="20" t="s">
        <v>26</v>
      </c>
      <c r="C23" s="21"/>
      <c r="D23" s="22"/>
      <c r="E23" s="21">
        <v>2</v>
      </c>
      <c r="F23" s="22">
        <v>5.8</v>
      </c>
      <c r="G23" s="21"/>
      <c r="H23" s="22"/>
      <c r="I23" s="21">
        <v>3</v>
      </c>
      <c r="J23" s="22">
        <v>8.6999999999999993</v>
      </c>
      <c r="K23" s="72"/>
      <c r="L23" s="73"/>
      <c r="M23" s="21">
        <v>2</v>
      </c>
      <c r="N23" s="22">
        <v>5.8</v>
      </c>
      <c r="O23" s="21">
        <v>6</v>
      </c>
      <c r="P23" s="22">
        <v>17.399999999999999</v>
      </c>
      <c r="Q23" s="21"/>
      <c r="R23" s="22">
        <v>2.9</v>
      </c>
      <c r="S23" s="21">
        <v>10</v>
      </c>
      <c r="T23" s="22">
        <f>29+2</f>
        <v>31</v>
      </c>
      <c r="U23" s="21">
        <v>2</v>
      </c>
      <c r="V23" s="22">
        <v>5.8</v>
      </c>
      <c r="W23" s="21">
        <v>9</v>
      </c>
      <c r="X23" s="22">
        <v>26.1</v>
      </c>
      <c r="Y23" s="21">
        <v>4</v>
      </c>
      <c r="Z23" s="22">
        <v>11.6</v>
      </c>
      <c r="AA23" s="21">
        <v>3</v>
      </c>
      <c r="AB23" s="22">
        <v>8.6999999999999993</v>
      </c>
      <c r="AC23" s="21">
        <v>1</v>
      </c>
      <c r="AD23" s="22">
        <v>2.9</v>
      </c>
      <c r="AE23" s="21">
        <v>5</v>
      </c>
      <c r="AF23" s="22">
        <v>14.5</v>
      </c>
      <c r="AG23" s="21">
        <v>3</v>
      </c>
      <c r="AH23" s="22">
        <v>8.6999999999999993</v>
      </c>
      <c r="AI23" s="21">
        <v>13</v>
      </c>
      <c r="AJ23" s="22">
        <v>37.92</v>
      </c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2"/>
        <v>187.82000000000005</v>
      </c>
      <c r="AY23" s="22">
        <f t="shared" si="1"/>
        <v>178.02843601895739</v>
      </c>
    </row>
    <row r="24" spans="1:51" x14ac:dyDescent="0.25">
      <c r="A24" s="19" t="s">
        <v>105</v>
      </c>
      <c r="B24" s="20" t="s">
        <v>26</v>
      </c>
      <c r="C24" s="21"/>
      <c r="D24" s="22"/>
      <c r="E24" s="21"/>
      <c r="F24" s="22"/>
      <c r="G24" s="21"/>
      <c r="H24" s="22"/>
      <c r="I24" s="21"/>
      <c r="J24" s="22"/>
      <c r="K24" s="85"/>
      <c r="L24" s="73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2"/>
      <c r="AO24" s="21"/>
      <c r="AP24" s="22"/>
      <c r="AQ24" s="21"/>
      <c r="AR24" s="22"/>
      <c r="AS24" s="21"/>
      <c r="AT24" s="22"/>
      <c r="AU24" s="21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41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0</v>
      </c>
      <c r="AY25" s="22">
        <f t="shared" si="1"/>
        <v>0</v>
      </c>
    </row>
    <row r="26" spans="1:51" x14ac:dyDescent="0.25">
      <c r="A26" s="19" t="s">
        <v>42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85"/>
      <c r="L26" s="73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0</v>
      </c>
      <c r="AY26" s="22">
        <f t="shared" si="1"/>
        <v>0</v>
      </c>
    </row>
    <row r="27" spans="1:51" x14ac:dyDescent="0.25">
      <c r="A27" s="19" t="s">
        <v>43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44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179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180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85"/>
      <c r="L30" s="73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0</v>
      </c>
      <c r="AY30" s="22">
        <f t="shared" si="1"/>
        <v>0</v>
      </c>
    </row>
    <row r="31" spans="1:51" x14ac:dyDescent="0.25">
      <c r="A31" s="19" t="s">
        <v>191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1" x14ac:dyDescent="0.25">
      <c r="A32" s="19" t="s">
        <v>201</v>
      </c>
      <c r="B32" s="20" t="s">
        <v>26</v>
      </c>
      <c r="C32" s="25"/>
      <c r="D32" s="22"/>
      <c r="E32" s="25"/>
      <c r="F32" s="22"/>
      <c r="G32" s="21"/>
      <c r="H32" s="22"/>
      <c r="I32" s="25"/>
      <c r="J32" s="22"/>
      <c r="K32" s="85"/>
      <c r="L32" s="73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0</v>
      </c>
      <c r="AY32" s="22">
        <f t="shared" si="1"/>
        <v>0</v>
      </c>
    </row>
    <row r="33" spans="1:52" x14ac:dyDescent="0.25">
      <c r="A33" s="19" t="s">
        <v>264</v>
      </c>
      <c r="B33" s="20"/>
      <c r="C33" s="25"/>
      <c r="D33" s="22"/>
      <c r="E33" s="25"/>
      <c r="F33" s="22"/>
      <c r="G33" s="21"/>
      <c r="H33" s="22"/>
      <c r="I33" s="25"/>
      <c r="J33" s="22"/>
      <c r="K33" s="85"/>
      <c r="L33" s="73"/>
      <c r="M33" s="25"/>
      <c r="N33" s="22"/>
      <c r="O33" s="25"/>
      <c r="P33" s="22"/>
      <c r="Q33" s="25"/>
      <c r="R33" s="22">
        <v>27.13</v>
      </c>
      <c r="S33" s="25"/>
      <c r="T33" s="22"/>
      <c r="U33" s="25"/>
      <c r="V33" s="22">
        <v>10.45</v>
      </c>
      <c r="W33" s="25"/>
      <c r="X33" s="22"/>
      <c r="Y33" s="25"/>
      <c r="Z33" s="22"/>
      <c r="AA33" s="25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U33" s="25"/>
      <c r="AV33" s="22"/>
      <c r="AW33"/>
      <c r="AX33" s="74">
        <f t="shared" si="0"/>
        <v>37.58</v>
      </c>
      <c r="AY33" s="22">
        <f t="shared" si="1"/>
        <v>35.620853080568722</v>
      </c>
    </row>
    <row r="34" spans="1:52" x14ac:dyDescent="0.25">
      <c r="A34" s="19" t="s">
        <v>202</v>
      </c>
      <c r="B34" s="20" t="s">
        <v>34</v>
      </c>
      <c r="C34" s="25"/>
      <c r="D34" s="22"/>
      <c r="E34" s="25"/>
      <c r="F34" s="22"/>
      <c r="G34" s="25"/>
      <c r="H34" s="22">
        <v>16.63</v>
      </c>
      <c r="I34" s="25"/>
      <c r="J34" s="22"/>
      <c r="K34" s="85"/>
      <c r="L34" s="73"/>
      <c r="M34" s="25"/>
      <c r="N34" s="22"/>
      <c r="O34" s="25"/>
      <c r="P34" s="22"/>
      <c r="Q34" s="25"/>
      <c r="R34" s="22">
        <v>6.89</v>
      </c>
      <c r="S34" s="25"/>
      <c r="T34" s="22"/>
      <c r="U34" s="25"/>
      <c r="V34" s="22"/>
      <c r="W34" s="25"/>
      <c r="X34" s="22">
        <v>12</v>
      </c>
      <c r="Y34" s="25"/>
      <c r="Z34" s="22">
        <v>4.7</v>
      </c>
      <c r="AA34" s="25"/>
      <c r="AB34" s="22">
        <f>2+3.85+3.75</f>
        <v>9.6</v>
      </c>
      <c r="AC34" s="25"/>
      <c r="AD34" s="22"/>
      <c r="AE34" s="25"/>
      <c r="AF34" s="22">
        <f>0.34+40</f>
        <v>40.340000000000003</v>
      </c>
      <c r="AG34" s="25"/>
      <c r="AH34" s="22">
        <v>4.58</v>
      </c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>SUM(AV34,AT34,AR34,AP34,AN34,AL34,AJ34,AH34,AF34,AD34,AB34,Z34,X34,V34,T34,R34,P34,N34,L34,J34,H34,F34,D34)</f>
        <v>94.74</v>
      </c>
      <c r="AY34" s="22">
        <f t="shared" ref="AY34:AY69" si="3">AX34/1.055</f>
        <v>89.800947867298575</v>
      </c>
      <c r="AZ34" s="2">
        <f>SUM(AX4:AX34)</f>
        <v>12878.640000000001</v>
      </c>
    </row>
    <row r="35" spans="1:52" s="18" customFormat="1" x14ac:dyDescent="0.25">
      <c r="A35" s="12" t="s">
        <v>46</v>
      </c>
      <c r="B35" s="13"/>
      <c r="C35" s="14"/>
      <c r="D35" s="15">
        <f>SUM(D36:D54)</f>
        <v>0</v>
      </c>
      <c r="E35" s="14"/>
      <c r="F35" s="15">
        <f>SUM(F36:F54)</f>
        <v>42.99</v>
      </c>
      <c r="G35" s="14"/>
      <c r="H35" s="15">
        <f>SUM(H36:H54)</f>
        <v>0</v>
      </c>
      <c r="I35" s="14"/>
      <c r="J35" s="15">
        <f>SUM(J36:J54)</f>
        <v>27.62</v>
      </c>
      <c r="K35" s="70"/>
      <c r="L35" s="70">
        <f>SUM(L36:L54)</f>
        <v>17.62</v>
      </c>
      <c r="M35" s="14"/>
      <c r="N35" s="15">
        <f>SUM(N36:N54)</f>
        <v>16.93</v>
      </c>
      <c r="O35" s="14"/>
      <c r="P35" s="15">
        <f>SUM(P36:P54)</f>
        <v>7.8</v>
      </c>
      <c r="Q35" s="14"/>
      <c r="R35" s="15">
        <f>SUM(R36:R54)</f>
        <v>3.86</v>
      </c>
      <c r="S35" s="14"/>
      <c r="T35" s="15">
        <f>SUM(T36:T54)</f>
        <v>15.4</v>
      </c>
      <c r="U35" s="14"/>
      <c r="V35" s="15">
        <f>SUM(V36:V54)</f>
        <v>5.84</v>
      </c>
      <c r="W35" s="14"/>
      <c r="X35" s="15">
        <f>SUM(X36:X54)</f>
        <v>46.44</v>
      </c>
      <c r="Y35" s="14"/>
      <c r="Z35" s="15">
        <f>SUM(Z36:Z54)</f>
        <v>5.0600000000000005</v>
      </c>
      <c r="AA35" s="14"/>
      <c r="AB35" s="15">
        <f>SUM(AB36:AB54)</f>
        <v>12.38</v>
      </c>
      <c r="AC35" s="14"/>
      <c r="AD35" s="15">
        <f>SUM(AD36:AD54)</f>
        <v>1.66</v>
      </c>
      <c r="AE35" s="14"/>
      <c r="AF35" s="15">
        <f>SUM(AF36:AF54)</f>
        <v>0</v>
      </c>
      <c r="AG35" s="14"/>
      <c r="AH35" s="15">
        <f>SUM(AH36:AH54)</f>
        <v>6.24</v>
      </c>
      <c r="AI35" s="14"/>
      <c r="AJ35" s="15">
        <f>SUM(AJ36:AJ54)</f>
        <v>63</v>
      </c>
      <c r="AK35" s="14"/>
      <c r="AL35" s="15">
        <f>SUM(AL36:AL54)</f>
        <v>0</v>
      </c>
      <c r="AM35" s="14"/>
      <c r="AN35" s="15">
        <f>SUM(AN36:AN54)</f>
        <v>0</v>
      </c>
      <c r="AO35" s="14"/>
      <c r="AP35" s="15">
        <f>SUM(AP36:AP54)</f>
        <v>0</v>
      </c>
      <c r="AQ35" s="14"/>
      <c r="AR35" s="15">
        <f>SUM(AR36:AR54)</f>
        <v>0</v>
      </c>
      <c r="AS35" s="14"/>
      <c r="AT35" s="15">
        <f>SUM(AT36:AT54)</f>
        <v>0</v>
      </c>
      <c r="AU35" s="14"/>
      <c r="AV35" s="15">
        <f>SUM(AV36:AV54)</f>
        <v>0</v>
      </c>
      <c r="AX35" s="71">
        <f t="shared" ref="AX35:AX68" si="4">SUM(AV35,AT35,AR35,AP35,AN35,AL35,AJ35,AH35,AF35,AD35,AB35,Z35,X35,V35,T35,R35,P35,N35,L35,J35,H35,F35,D35)</f>
        <v>272.84000000000003</v>
      </c>
      <c r="AY35" s="15">
        <f t="shared" si="3"/>
        <v>258.61611374407585</v>
      </c>
    </row>
    <row r="36" spans="1:52" x14ac:dyDescent="0.25">
      <c r="A36" s="19" t="s">
        <v>47</v>
      </c>
      <c r="B36" s="20" t="s">
        <v>34</v>
      </c>
      <c r="C36" s="25"/>
      <c r="D36" s="22"/>
      <c r="E36" s="25"/>
      <c r="F36" s="22"/>
      <c r="G36" s="25"/>
      <c r="H36" s="22"/>
      <c r="I36" s="25"/>
      <c r="J36" s="22"/>
      <c r="K36" s="25"/>
      <c r="L36" s="73"/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4"/>
        <v>0</v>
      </c>
      <c r="AY36" s="22">
        <f t="shared" si="3"/>
        <v>0</v>
      </c>
    </row>
    <row r="37" spans="1:52" x14ac:dyDescent="0.25">
      <c r="A37" s="19" t="s">
        <v>48</v>
      </c>
      <c r="B37" s="20" t="s">
        <v>34</v>
      </c>
      <c r="C37" s="25"/>
      <c r="D37" s="22"/>
      <c r="E37" s="25"/>
      <c r="F37" s="22">
        <v>35.21</v>
      </c>
      <c r="G37" s="25"/>
      <c r="H37" s="22"/>
      <c r="I37" s="25"/>
      <c r="J37" s="22">
        <v>11.6</v>
      </c>
      <c r="K37" s="25"/>
      <c r="L37" s="73"/>
      <c r="M37" s="25"/>
      <c r="N37" s="22">
        <f>10.15+3</f>
        <v>13.15</v>
      </c>
      <c r="O37" s="25"/>
      <c r="P37" s="22"/>
      <c r="Q37" s="25"/>
      <c r="R37" s="22">
        <v>1.5</v>
      </c>
      <c r="S37" s="21"/>
      <c r="T37" s="22"/>
      <c r="U37" s="25"/>
      <c r="V37" s="22">
        <v>3.59</v>
      </c>
      <c r="W37" s="25"/>
      <c r="X37" s="22"/>
      <c r="Y37" s="25"/>
      <c r="Z37" s="22">
        <v>4</v>
      </c>
      <c r="AA37" s="21"/>
      <c r="AB37" s="22"/>
      <c r="AC37" s="25"/>
      <c r="AD37" s="22">
        <v>1.66</v>
      </c>
      <c r="AE37" s="25"/>
      <c r="AF37" s="22"/>
      <c r="AG37" s="25"/>
      <c r="AH37" s="22">
        <v>2.46</v>
      </c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>SUM(AV37,AT37,AR37,AP37,AN37,AL37,AJ37,AH37,AF37,AD37,AB37,Z37,X37,V37,T37,R37,P37,N37,L37,J37,H37,F37,D37)</f>
        <v>73.17</v>
      </c>
      <c r="AY37" s="22">
        <f t="shared" si="3"/>
        <v>69.355450236966831</v>
      </c>
    </row>
    <row r="38" spans="1:52" x14ac:dyDescent="0.25">
      <c r="A38" s="19" t="s">
        <v>49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4"/>
        <v>0</v>
      </c>
      <c r="AY38" s="22">
        <f t="shared" si="3"/>
        <v>0</v>
      </c>
    </row>
    <row r="39" spans="1:52" x14ac:dyDescent="0.25">
      <c r="A39" s="19" t="s">
        <v>50</v>
      </c>
      <c r="B39" s="20" t="s">
        <v>34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4"/>
        <v>0</v>
      </c>
      <c r="AY39" s="22">
        <f t="shared" si="3"/>
        <v>0</v>
      </c>
    </row>
    <row r="40" spans="1:52" x14ac:dyDescent="0.25">
      <c r="A40" s="19" t="s">
        <v>51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4"/>
        <v>0</v>
      </c>
      <c r="AY40" s="22">
        <f t="shared" si="3"/>
        <v>0</v>
      </c>
    </row>
    <row r="41" spans="1:52" x14ac:dyDescent="0.25">
      <c r="A41" s="19" t="s">
        <v>208</v>
      </c>
      <c r="B41" s="20" t="s">
        <v>34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4"/>
        <v>0</v>
      </c>
      <c r="AY41" s="22">
        <f t="shared" si="3"/>
        <v>0</v>
      </c>
    </row>
    <row r="42" spans="1:52" x14ac:dyDescent="0.25">
      <c r="A42" s="19" t="s">
        <v>133</v>
      </c>
      <c r="B42" s="20" t="s">
        <v>53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4"/>
        <v>0</v>
      </c>
      <c r="AY42" s="22">
        <f t="shared" si="3"/>
        <v>0</v>
      </c>
    </row>
    <row r="43" spans="1:52" x14ac:dyDescent="0.25">
      <c r="A43" s="19" t="s">
        <v>54</v>
      </c>
      <c r="B43" s="20" t="s">
        <v>55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4"/>
        <v>0</v>
      </c>
      <c r="AY43" s="22">
        <f t="shared" si="3"/>
        <v>0</v>
      </c>
    </row>
    <row r="44" spans="1:52" x14ac:dyDescent="0.25">
      <c r="A44" s="19" t="s">
        <v>56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4"/>
        <v>0</v>
      </c>
      <c r="AY44" s="22">
        <f t="shared" si="3"/>
        <v>0</v>
      </c>
    </row>
    <row r="45" spans="1:52" x14ac:dyDescent="0.25">
      <c r="A45" s="19" t="s">
        <v>57</v>
      </c>
      <c r="B45" s="20" t="s">
        <v>53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4"/>
        <v>0</v>
      </c>
      <c r="AY45" s="22">
        <f t="shared" si="3"/>
        <v>0</v>
      </c>
    </row>
    <row r="46" spans="1:52" x14ac:dyDescent="0.25">
      <c r="A46" s="19" t="s">
        <v>58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>
        <v>0.72</v>
      </c>
      <c r="K46" s="25"/>
      <c r="L46" s="73"/>
      <c r="M46" s="25"/>
      <c r="N46" s="22">
        <v>1.85</v>
      </c>
      <c r="O46" s="25"/>
      <c r="P46" s="22"/>
      <c r="Q46" s="25"/>
      <c r="R46" s="22">
        <v>2.36</v>
      </c>
      <c r="S46" s="21"/>
      <c r="T46" s="22"/>
      <c r="U46" s="25"/>
      <c r="V46" s="22">
        <v>2.25</v>
      </c>
      <c r="W46" s="25"/>
      <c r="X46" s="22"/>
      <c r="Y46" s="25"/>
      <c r="Z46" s="22">
        <v>1.06</v>
      </c>
      <c r="AA46" s="21"/>
      <c r="AB46" s="22"/>
      <c r="AC46" s="25"/>
      <c r="AD46" s="22"/>
      <c r="AE46" s="25"/>
      <c r="AF46" s="22"/>
      <c r="AG46" s="25"/>
      <c r="AH46" s="22">
        <v>3.78</v>
      </c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4"/>
        <v>12.02</v>
      </c>
      <c r="AY46" s="22">
        <f t="shared" si="3"/>
        <v>11.393364928909953</v>
      </c>
    </row>
    <row r="47" spans="1:52" x14ac:dyDescent="0.25">
      <c r="A47" s="19" t="s">
        <v>110</v>
      </c>
      <c r="B47" s="20" t="s">
        <v>34</v>
      </c>
      <c r="C47" s="25"/>
      <c r="D47" s="22"/>
      <c r="E47" s="25"/>
      <c r="F47" s="22">
        <v>4.24</v>
      </c>
      <c r="G47" s="25"/>
      <c r="H47" s="22"/>
      <c r="I47" s="25"/>
      <c r="J47" s="22">
        <v>0.9</v>
      </c>
      <c r="K47" s="25"/>
      <c r="L47" s="73"/>
      <c r="M47" s="25"/>
      <c r="N47" s="22">
        <v>1.93</v>
      </c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>SUM(AV47,AT47,AR47,AP47,AN47,AL47,AJ47,AH47,AF47,AD47,AB47,Z47,X47,V47,T47,R47,P47,N47,L47,J47,H47,F47,D47)</f>
        <v>7.07</v>
      </c>
      <c r="AY47" s="22">
        <f t="shared" si="3"/>
        <v>6.7014218009478679</v>
      </c>
    </row>
    <row r="48" spans="1:52" x14ac:dyDescent="0.25">
      <c r="A48" s="19" t="s">
        <v>111</v>
      </c>
      <c r="B48" s="20" t="s">
        <v>34</v>
      </c>
      <c r="C48" s="25"/>
      <c r="D48" s="22"/>
      <c r="E48" s="25"/>
      <c r="F48" s="22">
        <v>3.54</v>
      </c>
      <c r="G48" s="25"/>
      <c r="H48" s="22"/>
      <c r="I48" s="25"/>
      <c r="J48" s="22">
        <v>2.9</v>
      </c>
      <c r="K48" s="25"/>
      <c r="L48" s="73"/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>SUM(AV48,AT48,AR48,AP48,AN48,AL48,AJ48,AH48,AF48,AD48,AB48,Z48,X48,V48,T48,R48,P48,N48,L48,J48,H48,F48,D48)</f>
        <v>6.4399999999999995</v>
      </c>
      <c r="AY48" s="22">
        <f t="shared" si="3"/>
        <v>6.1042654028436019</v>
      </c>
    </row>
    <row r="49" spans="1:51" x14ac:dyDescent="0.25">
      <c r="A49" s="19" t="s">
        <v>112</v>
      </c>
      <c r="B49" s="20" t="s">
        <v>53</v>
      </c>
      <c r="C49" s="25"/>
      <c r="D49" s="22"/>
      <c r="E49" s="25"/>
      <c r="F49" s="22"/>
      <c r="G49" s="25"/>
      <c r="H49" s="22"/>
      <c r="I49" s="25"/>
      <c r="J49" s="22"/>
      <c r="K49" s="25"/>
      <c r="L49" s="73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4"/>
        <v>0</v>
      </c>
      <c r="AY49" s="22">
        <f t="shared" si="3"/>
        <v>0</v>
      </c>
    </row>
    <row r="50" spans="1:51" x14ac:dyDescent="0.25">
      <c r="A50" s="19" t="s">
        <v>203</v>
      </c>
      <c r="B50" s="20" t="s">
        <v>34</v>
      </c>
      <c r="C50" s="25"/>
      <c r="D50" s="22"/>
      <c r="E50" s="25"/>
      <c r="F50" s="22"/>
      <c r="G50" s="25"/>
      <c r="H50" s="22"/>
      <c r="I50" s="25"/>
      <c r="J50" s="22"/>
      <c r="K50" s="25"/>
      <c r="L50" s="73"/>
      <c r="M50" s="25"/>
      <c r="N50" s="22"/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4"/>
        <v>0</v>
      </c>
      <c r="AY50" s="22">
        <f t="shared" si="3"/>
        <v>0</v>
      </c>
    </row>
    <row r="51" spans="1:51" x14ac:dyDescent="0.25">
      <c r="A51" s="19" t="s">
        <v>134</v>
      </c>
      <c r="B51" s="20" t="s">
        <v>34</v>
      </c>
      <c r="C51" s="25"/>
      <c r="D51" s="22"/>
      <c r="E51" s="25"/>
      <c r="F51" s="22"/>
      <c r="G51" s="25"/>
      <c r="H51" s="22"/>
      <c r="I51" s="25"/>
      <c r="J51" s="22"/>
      <c r="K51" s="25"/>
      <c r="L51" s="73"/>
      <c r="M51" s="25"/>
      <c r="N51" s="22"/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4"/>
        <v>0</v>
      </c>
      <c r="AY51" s="22">
        <f t="shared" si="3"/>
        <v>0</v>
      </c>
    </row>
    <row r="52" spans="1:51" x14ac:dyDescent="0.25">
      <c r="A52" s="19" t="s">
        <v>204</v>
      </c>
      <c r="B52" s="20" t="s">
        <v>34</v>
      </c>
      <c r="C52" s="25"/>
      <c r="D52" s="22"/>
      <c r="E52" s="25"/>
      <c r="F52" s="22"/>
      <c r="G52" s="25"/>
      <c r="H52" s="22"/>
      <c r="I52" s="25"/>
      <c r="J52" s="22"/>
      <c r="K52" s="25"/>
      <c r="L52" s="73"/>
      <c r="M52" s="25"/>
      <c r="N52" s="22"/>
      <c r="O52" s="25"/>
      <c r="P52" s="22"/>
      <c r="Q52" s="25"/>
      <c r="R52" s="22"/>
      <c r="S52" s="21"/>
      <c r="T52" s="22"/>
      <c r="U52" s="25"/>
      <c r="V52" s="22"/>
      <c r="W52" s="25"/>
      <c r="X52" s="22"/>
      <c r="Y52" s="25"/>
      <c r="Z52" s="22"/>
      <c r="AA52" s="21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4"/>
        <v>0</v>
      </c>
      <c r="AY52" s="22">
        <f t="shared" si="3"/>
        <v>0</v>
      </c>
    </row>
    <row r="53" spans="1:51" x14ac:dyDescent="0.25">
      <c r="A53" s="19" t="s">
        <v>220</v>
      </c>
      <c r="B53" s="20" t="s">
        <v>34</v>
      </c>
      <c r="C53" s="25"/>
      <c r="D53" s="22"/>
      <c r="E53" s="25"/>
      <c r="F53" s="22"/>
      <c r="G53" s="25"/>
      <c r="H53" s="22"/>
      <c r="I53" s="25"/>
      <c r="J53" s="22"/>
      <c r="K53" s="25"/>
      <c r="L53" s="73"/>
      <c r="M53" s="25"/>
      <c r="N53" s="22"/>
      <c r="O53" s="25"/>
      <c r="P53" s="22"/>
      <c r="Q53" s="25"/>
      <c r="R53" s="22"/>
      <c r="S53" s="21"/>
      <c r="T53" s="22"/>
      <c r="U53" s="25"/>
      <c r="V53" s="22"/>
      <c r="W53" s="25"/>
      <c r="X53" s="22"/>
      <c r="Y53" s="25"/>
      <c r="Z53" s="22"/>
      <c r="AA53" s="21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4"/>
        <v>0</v>
      </c>
      <c r="AY53" s="22">
        <f t="shared" si="3"/>
        <v>0</v>
      </c>
    </row>
    <row r="54" spans="1:51" x14ac:dyDescent="0.25">
      <c r="A54" s="19" t="s">
        <v>59</v>
      </c>
      <c r="B54" s="20"/>
      <c r="C54" s="25"/>
      <c r="D54" s="22"/>
      <c r="E54" s="25"/>
      <c r="F54" s="22"/>
      <c r="G54" s="25"/>
      <c r="H54" s="22"/>
      <c r="I54" s="25"/>
      <c r="J54" s="22">
        <v>11.5</v>
      </c>
      <c r="K54" s="25">
        <v>0.57499999999999996</v>
      </c>
      <c r="L54" s="73">
        <v>17.62</v>
      </c>
      <c r="M54" s="25"/>
      <c r="N54" s="22"/>
      <c r="O54" s="25"/>
      <c r="P54" s="22">
        <v>7.8</v>
      </c>
      <c r="Q54" s="25"/>
      <c r="R54" s="22"/>
      <c r="S54" s="21"/>
      <c r="T54" s="22">
        <v>15.4</v>
      </c>
      <c r="U54" s="25"/>
      <c r="V54" s="22"/>
      <c r="W54" s="25"/>
      <c r="X54" s="22">
        <v>46.44</v>
      </c>
      <c r="Y54" s="25"/>
      <c r="Z54" s="22"/>
      <c r="AA54" s="25">
        <v>0.435</v>
      </c>
      <c r="AB54" s="22">
        <v>12.38</v>
      </c>
      <c r="AC54" s="25"/>
      <c r="AD54" s="22"/>
      <c r="AE54" s="25"/>
      <c r="AF54" s="22"/>
      <c r="AG54" s="25"/>
      <c r="AH54" s="22"/>
      <c r="AI54" s="25"/>
      <c r="AJ54" s="22">
        <v>63</v>
      </c>
      <c r="AK54" s="25"/>
      <c r="AL54" s="22"/>
      <c r="AM54" s="25"/>
      <c r="AN54" s="22"/>
      <c r="AO54" s="25"/>
      <c r="AP54" s="22"/>
      <c r="AQ54" s="25"/>
      <c r="AR54" s="22"/>
      <c r="AS54" s="25"/>
      <c r="AT54" s="22"/>
      <c r="AU54" s="25"/>
      <c r="AV54" s="22"/>
      <c r="AW54"/>
      <c r="AX54" s="74">
        <f>SUM(AV54,AT54,AR54,AP54,AN54,AL54,AJ54,AH54,AF54,AD54,AB54,Z54,X54,V54,T54,R54,P54,N54,L54,J54,H54,F54,D54)</f>
        <v>174.14000000000001</v>
      </c>
      <c r="AY54" s="22">
        <f t="shared" si="3"/>
        <v>165.06161137440762</v>
      </c>
    </row>
    <row r="55" spans="1:51" s="18" customFormat="1" x14ac:dyDescent="0.25">
      <c r="A55" s="12" t="s">
        <v>60</v>
      </c>
      <c r="B55" s="13"/>
      <c r="C55" s="14"/>
      <c r="D55" s="15">
        <f>SUM(D56:D63)</f>
        <v>86.410000000000011</v>
      </c>
      <c r="E55" s="14"/>
      <c r="F55" s="15">
        <f>SUM(F56:F63)</f>
        <v>9.98</v>
      </c>
      <c r="G55" s="14"/>
      <c r="H55" s="15">
        <f>SUM(H56:H63)</f>
        <v>50.78</v>
      </c>
      <c r="I55" s="14"/>
      <c r="J55" s="15">
        <f>SUM(J56:J63)</f>
        <v>3.4</v>
      </c>
      <c r="K55" s="70"/>
      <c r="L55" s="70">
        <f>SUM(L56:L63)</f>
        <v>37.5</v>
      </c>
      <c r="M55" s="14"/>
      <c r="N55" s="15">
        <f>SUM(N56:N63)</f>
        <v>5.5</v>
      </c>
      <c r="O55" s="14"/>
      <c r="P55" s="15">
        <f>SUM(P56:P63)</f>
        <v>53.19</v>
      </c>
      <c r="Q55" s="14"/>
      <c r="R55" s="15">
        <f>SUM(R56:R63)</f>
        <v>7.46</v>
      </c>
      <c r="S55" s="14"/>
      <c r="T55" s="15">
        <f>SUM(T56:T63)</f>
        <v>30.019999999999996</v>
      </c>
      <c r="U55" s="14"/>
      <c r="V55" s="15">
        <f>SUM(V56:V63)</f>
        <v>21.59</v>
      </c>
      <c r="W55" s="14"/>
      <c r="X55" s="15">
        <f>SUM(X56:X63)</f>
        <v>28.82</v>
      </c>
      <c r="Y55" s="14"/>
      <c r="Z55" s="15">
        <f>SUM(Z56:Z63)</f>
        <v>15.88</v>
      </c>
      <c r="AA55" s="14"/>
      <c r="AB55" s="15">
        <f>SUM(AB56:AB63)</f>
        <v>17.899999999999999</v>
      </c>
      <c r="AC55" s="14"/>
      <c r="AD55" s="15">
        <f>SUM(AD56:AD63)</f>
        <v>13.9</v>
      </c>
      <c r="AE55" s="14"/>
      <c r="AF55" s="15">
        <f>SUM(AF56:AF63)</f>
        <v>53.33</v>
      </c>
      <c r="AG55" s="14"/>
      <c r="AH55" s="15">
        <f>SUM(AH56:AH63)</f>
        <v>6.12</v>
      </c>
      <c r="AI55" s="14"/>
      <c r="AJ55" s="15">
        <f>SUM(AJ56:AJ63)</f>
        <v>23.54</v>
      </c>
      <c r="AK55" s="14"/>
      <c r="AL55" s="15">
        <f>SUM(AL56:AL63)</f>
        <v>0</v>
      </c>
      <c r="AM55" s="14"/>
      <c r="AN55" s="15">
        <f>SUM(AN56:AN63)</f>
        <v>0</v>
      </c>
      <c r="AO55" s="14"/>
      <c r="AP55" s="15">
        <f>SUM(AP56:AP63)</f>
        <v>0</v>
      </c>
      <c r="AQ55" s="14"/>
      <c r="AR55" s="15">
        <f>SUM(AR56:AR63)</f>
        <v>0</v>
      </c>
      <c r="AS55" s="14"/>
      <c r="AT55" s="15">
        <f>SUM(AT56:AT63)</f>
        <v>0</v>
      </c>
      <c r="AU55" s="14"/>
      <c r="AV55" s="15">
        <f>SUM(AV56:AV63)</f>
        <v>0</v>
      </c>
      <c r="AX55" s="71">
        <f>SUM(AV55,AT55,AR55,AP55,AN55,AL55,AJ55,AH55,AF55,AD55,AB55,Z55,X55,V55,T55,R55,P55,N55,L55,J55,H55,F55,D55)</f>
        <v>465.32</v>
      </c>
      <c r="AY55" s="15">
        <f t="shared" si="3"/>
        <v>441.06161137440762</v>
      </c>
    </row>
    <row r="56" spans="1:51" x14ac:dyDescent="0.25">
      <c r="A56" s="19" t="s">
        <v>61</v>
      </c>
      <c r="B56" s="20" t="s">
        <v>34</v>
      </c>
      <c r="C56" s="25">
        <v>0.52</v>
      </c>
      <c r="D56" s="22">
        <v>11.97</v>
      </c>
      <c r="E56" s="25"/>
      <c r="F56" s="22"/>
      <c r="G56" s="25">
        <v>0.11</v>
      </c>
      <c r="H56" s="22">
        <v>2.5299999999999998</v>
      </c>
      <c r="I56" s="25"/>
      <c r="J56" s="22"/>
      <c r="K56" s="1">
        <f>0.1+0.535</f>
        <v>0.63500000000000001</v>
      </c>
      <c r="L56" s="73">
        <f>12.31+0.14</f>
        <v>12.450000000000001</v>
      </c>
      <c r="M56" s="25"/>
      <c r="N56" s="22"/>
      <c r="O56" s="25">
        <v>0.37</v>
      </c>
      <c r="P56" s="22">
        <v>8.51</v>
      </c>
      <c r="Q56" s="25"/>
      <c r="R56" s="22"/>
      <c r="S56" s="25">
        <v>0.39500000000000002</v>
      </c>
      <c r="T56" s="22">
        <v>9.1</v>
      </c>
      <c r="U56" s="25"/>
      <c r="V56" s="22"/>
      <c r="W56" s="25">
        <v>0.13</v>
      </c>
      <c r="X56" s="22">
        <v>2.99</v>
      </c>
      <c r="Y56" s="25"/>
      <c r="Z56" s="22">
        <v>3.98</v>
      </c>
      <c r="AA56" s="25">
        <v>0.16500000000000001</v>
      </c>
      <c r="AB56" s="22">
        <v>3.8</v>
      </c>
      <c r="AC56" s="25"/>
      <c r="AD56" s="22">
        <v>2.4</v>
      </c>
      <c r="AE56" s="25">
        <v>1.135</v>
      </c>
      <c r="AF56" s="22">
        <v>26.12</v>
      </c>
      <c r="AG56" s="25"/>
      <c r="AH56" s="22"/>
      <c r="AI56" s="25">
        <v>0.37</v>
      </c>
      <c r="AJ56" s="22">
        <v>8.51</v>
      </c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/>
      <c r="AX56" s="74">
        <f>SUM(AV56,AT56,AR56,AP56,AN56,AL56,AJ56,AH56,AF56,AD56,AB56,Z56,X56,V56,T56,R56,P56,N56,L56,J56,H56,F56,D56)</f>
        <v>92.36</v>
      </c>
      <c r="AY56" s="22">
        <f t="shared" si="3"/>
        <v>87.545023696682463</v>
      </c>
    </row>
    <row r="57" spans="1:51" x14ac:dyDescent="0.25">
      <c r="A57" s="19" t="s">
        <v>62</v>
      </c>
      <c r="B57" s="20" t="s">
        <v>34</v>
      </c>
      <c r="C57">
        <v>0.44</v>
      </c>
      <c r="D57" s="22">
        <v>10.130000000000001</v>
      </c>
      <c r="E57"/>
      <c r="F57" s="22">
        <v>1.33</v>
      </c>
      <c r="G57">
        <v>7.4999999999999997E-2</v>
      </c>
      <c r="H57" s="22">
        <v>1.73</v>
      </c>
      <c r="I57"/>
      <c r="J57" s="22"/>
      <c r="K57" s="1">
        <v>0.09</v>
      </c>
      <c r="L57" s="22">
        <v>2.0699999999999998</v>
      </c>
      <c r="M57"/>
      <c r="N57" s="22"/>
      <c r="O57">
        <v>0.1</v>
      </c>
      <c r="P57" s="22">
        <v>2.2999999999999998</v>
      </c>
      <c r="Q57"/>
      <c r="R57" s="22"/>
      <c r="S57">
        <v>0.125</v>
      </c>
      <c r="T57" s="22">
        <v>2.88</v>
      </c>
      <c r="U57"/>
      <c r="V57" s="22">
        <v>5</v>
      </c>
      <c r="W57"/>
      <c r="X57" s="22"/>
      <c r="Y57"/>
      <c r="Z57" s="22"/>
      <c r="AA57">
        <v>0.22</v>
      </c>
      <c r="AB57" s="22">
        <v>5.0599999999999996</v>
      </c>
      <c r="AC57"/>
      <c r="AD57" s="22">
        <v>5</v>
      </c>
      <c r="AE57" s="1">
        <v>0.19</v>
      </c>
      <c r="AF57" s="22">
        <v>4.37</v>
      </c>
      <c r="AG57"/>
      <c r="AH57" s="22"/>
      <c r="AI57" s="102">
        <v>0.20499999999999999</v>
      </c>
      <c r="AJ57" s="22">
        <v>4.72</v>
      </c>
      <c r="AK57"/>
      <c r="AL57" s="22"/>
      <c r="AM57"/>
      <c r="AN57" s="22"/>
      <c r="AO57"/>
      <c r="AP57" s="22"/>
      <c r="AQ57"/>
      <c r="AR57" s="22"/>
      <c r="AS57"/>
      <c r="AT57" s="22"/>
      <c r="AU57"/>
      <c r="AV57" s="22"/>
      <c r="AW57"/>
      <c r="AX57" s="74">
        <f>SUM(AV57,AT57,AR57,AP57,AN57,AL57,AJ57,AH57,AF57,AD57,AB57,Z57,X57,V57,T57,R57,P57,N57,L57,J57,H57,F57,D57)</f>
        <v>44.589999999999996</v>
      </c>
      <c r="AY57" s="22">
        <f t="shared" si="3"/>
        <v>42.265402843601898</v>
      </c>
    </row>
    <row r="58" spans="1:51" x14ac:dyDescent="0.25">
      <c r="A58" s="19" t="s">
        <v>63</v>
      </c>
      <c r="B58" s="20" t="s">
        <v>34</v>
      </c>
      <c r="C58" s="1">
        <v>0.84499999999999997</v>
      </c>
      <c r="D58" s="22">
        <v>19.45</v>
      </c>
      <c r="E58"/>
      <c r="F58" s="22"/>
      <c r="G58" s="1">
        <v>0.48</v>
      </c>
      <c r="H58" s="22">
        <v>11.05</v>
      </c>
      <c r="I58"/>
      <c r="J58" s="22"/>
      <c r="K58" s="1">
        <v>0.24</v>
      </c>
      <c r="L58" s="22">
        <v>5.53</v>
      </c>
      <c r="M58"/>
      <c r="N58" s="22">
        <v>5.5</v>
      </c>
      <c r="O58" s="1">
        <v>0.24</v>
      </c>
      <c r="P58" s="22">
        <v>5.52</v>
      </c>
      <c r="Q58"/>
      <c r="R58" s="22"/>
      <c r="S58" s="1">
        <v>0.53</v>
      </c>
      <c r="T58" s="22">
        <v>12.2</v>
      </c>
      <c r="U58"/>
      <c r="V58" s="22"/>
      <c r="W58">
        <v>0.745</v>
      </c>
      <c r="X58" s="22">
        <v>17.14</v>
      </c>
      <c r="Y58"/>
      <c r="Z58" s="22"/>
      <c r="AA58">
        <v>0.215</v>
      </c>
      <c r="AB58" s="22">
        <v>4.95</v>
      </c>
      <c r="AC58"/>
      <c r="AD58" s="22"/>
      <c r="AE58" s="1">
        <v>0.68500000000000005</v>
      </c>
      <c r="AF58" s="22">
        <v>15.76</v>
      </c>
      <c r="AG58"/>
      <c r="AH58" s="22">
        <v>3.23</v>
      </c>
      <c r="AI58" s="1">
        <v>0.29499999999999998</v>
      </c>
      <c r="AJ58" s="22">
        <v>6.79</v>
      </c>
      <c r="AK58"/>
      <c r="AL58" s="22"/>
      <c r="AM58"/>
      <c r="AN58" s="22"/>
      <c r="AO58"/>
      <c r="AP58" s="22"/>
      <c r="AQ58"/>
      <c r="AR58" s="22"/>
      <c r="AS58"/>
      <c r="AT58" s="22"/>
      <c r="AU58"/>
      <c r="AV58" s="22"/>
      <c r="AW58"/>
      <c r="AX58" s="74">
        <f>SUM(AV58,AT58,AR58,AP58,AN58,AL58,AJ58,AH58,AF58,AD58,AB58,Z58,X58,V58,T58,R58,P58,N58,L58,J58,H58,F58,D58)</f>
        <v>107.12</v>
      </c>
      <c r="AY58" s="22">
        <f t="shared" si="3"/>
        <v>101.5355450236967</v>
      </c>
    </row>
    <row r="59" spans="1:51" x14ac:dyDescent="0.25">
      <c r="A59" s="19" t="s">
        <v>64</v>
      </c>
      <c r="B59" s="20" t="s">
        <v>34</v>
      </c>
      <c r="C59" s="25">
        <v>0.72499999999999998</v>
      </c>
      <c r="D59" s="22">
        <v>28.29</v>
      </c>
      <c r="E59" s="25"/>
      <c r="F59" s="22"/>
      <c r="G59" s="25">
        <v>0.46500000000000002</v>
      </c>
      <c r="H59" s="22">
        <v>18.149999999999999</v>
      </c>
      <c r="I59" s="25"/>
      <c r="J59" s="22">
        <v>3.4</v>
      </c>
      <c r="K59" s="1">
        <v>7.0000000000000007E-2</v>
      </c>
      <c r="L59" s="73">
        <f>2.73+1</f>
        <v>3.73</v>
      </c>
      <c r="M59" s="25"/>
      <c r="N59" s="22"/>
      <c r="O59" s="25">
        <v>0.28999999999999998</v>
      </c>
      <c r="P59" s="22">
        <v>11.32</v>
      </c>
      <c r="Q59" s="25"/>
      <c r="R59" s="22"/>
      <c r="S59" s="25"/>
      <c r="T59" s="22"/>
      <c r="U59" s="8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4"/>
        <v>64.889999999999986</v>
      </c>
      <c r="AY59" s="22">
        <f t="shared" si="3"/>
        <v>61.507109004739327</v>
      </c>
    </row>
    <row r="60" spans="1:51" x14ac:dyDescent="0.25">
      <c r="A60" s="19" t="s">
        <v>65</v>
      </c>
      <c r="B60" s="20" t="s">
        <v>34</v>
      </c>
      <c r="C60" s="25"/>
      <c r="D60" s="22"/>
      <c r="E60" s="25"/>
      <c r="F60" s="22"/>
      <c r="G60" s="25"/>
      <c r="H60" s="22"/>
      <c r="I60" s="25"/>
      <c r="J60" s="22"/>
      <c r="K60" s="1"/>
      <c r="L60" s="73"/>
      <c r="M60" s="25"/>
      <c r="N60" s="22"/>
      <c r="O60" s="25"/>
      <c r="P60" s="22"/>
      <c r="Q60" s="25"/>
      <c r="R60" s="22"/>
      <c r="S60" s="25"/>
      <c r="T60" s="22"/>
      <c r="U60" s="25"/>
      <c r="V60" s="22"/>
      <c r="W60" s="25"/>
      <c r="X60" s="22"/>
      <c r="Y60" s="25"/>
      <c r="Z60" s="22"/>
      <c r="AA60" s="25"/>
      <c r="AB60" s="22"/>
      <c r="AC60" s="25"/>
      <c r="AD60" s="22"/>
      <c r="AE60" s="25"/>
      <c r="AF60" s="22"/>
      <c r="AG60" s="25"/>
      <c r="AH60" s="22"/>
      <c r="AI60" s="25"/>
      <c r="AJ60" s="22"/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>SUM(AV60,AT60,AR60,AP60,AN60,AL60,AJ60,AH60,AF60,AD60,AB60,Z60,X60,V60,T60,R60,P60,N60,L60,J60,H60,F60,D60)</f>
        <v>0</v>
      </c>
      <c r="AY60" s="22">
        <f t="shared" si="3"/>
        <v>0</v>
      </c>
    </row>
    <row r="61" spans="1:51" x14ac:dyDescent="0.25">
      <c r="A61" s="19" t="s">
        <v>66</v>
      </c>
      <c r="B61" s="20" t="s">
        <v>34</v>
      </c>
      <c r="C61" s="25">
        <v>0.47499999999999998</v>
      </c>
      <c r="D61" s="22">
        <v>4.51</v>
      </c>
      <c r="E61" s="25"/>
      <c r="F61" s="22">
        <v>8.65</v>
      </c>
      <c r="G61" s="25">
        <v>1.07</v>
      </c>
      <c r="H61" s="22">
        <v>10.18</v>
      </c>
      <c r="I61" s="25"/>
      <c r="J61" s="22"/>
      <c r="K61" s="1">
        <v>1.4450000000000001</v>
      </c>
      <c r="L61" s="73">
        <v>13.72</v>
      </c>
      <c r="M61" s="25"/>
      <c r="N61" s="22"/>
      <c r="O61" s="25">
        <v>2.3250000000000002</v>
      </c>
      <c r="P61" s="22">
        <v>22.09</v>
      </c>
      <c r="Q61" s="25"/>
      <c r="R61" s="22">
        <v>7.46</v>
      </c>
      <c r="S61" s="25">
        <v>0.13</v>
      </c>
      <c r="T61" s="22">
        <v>1.24</v>
      </c>
      <c r="U61" s="25"/>
      <c r="V61" s="22">
        <v>16.59</v>
      </c>
      <c r="W61" s="25">
        <v>0.91500000000000004</v>
      </c>
      <c r="X61" s="22">
        <v>8.69</v>
      </c>
      <c r="Y61" s="25"/>
      <c r="Z61" s="22">
        <v>11.9</v>
      </c>
      <c r="AA61" s="25">
        <v>0.43</v>
      </c>
      <c r="AB61" s="22">
        <v>4.09</v>
      </c>
      <c r="AC61" s="25"/>
      <c r="AD61" s="22">
        <v>6.5</v>
      </c>
      <c r="AE61" s="25">
        <v>0.745</v>
      </c>
      <c r="AF61" s="22">
        <v>7.08</v>
      </c>
      <c r="AG61" s="25"/>
      <c r="AH61" s="22">
        <v>2.89</v>
      </c>
      <c r="AI61" s="25">
        <v>0.37</v>
      </c>
      <c r="AJ61" s="22">
        <v>3.52</v>
      </c>
      <c r="AK61" s="25"/>
      <c r="AL61" s="22"/>
      <c r="AM61" s="25"/>
      <c r="AN61" s="22"/>
      <c r="AO61" s="25"/>
      <c r="AP61" s="22"/>
      <c r="AQ61" s="25"/>
      <c r="AR61" s="22"/>
      <c r="AS61" s="25"/>
      <c r="AT61" s="22"/>
      <c r="AU61" s="25"/>
      <c r="AV61" s="22"/>
      <c r="AW61"/>
      <c r="AX61" s="74">
        <f t="shared" si="4"/>
        <v>129.11000000000001</v>
      </c>
      <c r="AY61" s="22">
        <f t="shared" si="3"/>
        <v>122.37914691943131</v>
      </c>
    </row>
    <row r="62" spans="1:51" x14ac:dyDescent="0.25">
      <c r="A62" s="19" t="s">
        <v>38</v>
      </c>
      <c r="B62" s="20" t="s">
        <v>34</v>
      </c>
      <c r="C62" s="25">
        <v>0.34</v>
      </c>
      <c r="D62" s="22">
        <v>7.83</v>
      </c>
      <c r="E62" s="25"/>
      <c r="F62" s="22"/>
      <c r="G62" s="25">
        <v>0.31</v>
      </c>
      <c r="H62" s="22">
        <v>7.14</v>
      </c>
      <c r="I62" s="25"/>
      <c r="J62" s="22"/>
      <c r="K62" s="1"/>
      <c r="L62" s="73"/>
      <c r="M62" s="25"/>
      <c r="N62" s="22"/>
      <c r="O62" s="25">
        <v>0.15</v>
      </c>
      <c r="P62" s="22">
        <v>3.45</v>
      </c>
      <c r="Q62" s="25"/>
      <c r="R62" s="22"/>
      <c r="S62" s="25">
        <v>0.2</v>
      </c>
      <c r="T62" s="22">
        <v>4.5999999999999996</v>
      </c>
      <c r="U62" s="25"/>
      <c r="V62" s="22"/>
      <c r="W62" s="25"/>
      <c r="X62" s="22"/>
      <c r="Y62" s="25"/>
      <c r="Z62" s="22"/>
      <c r="AA62" s="25"/>
      <c r="AB62" s="22"/>
      <c r="AC62" s="25"/>
      <c r="AD62" s="22"/>
      <c r="AE62" s="25"/>
      <c r="AF62" s="22"/>
      <c r="AG62" s="25"/>
      <c r="AH62" s="22"/>
      <c r="AI62" s="25"/>
      <c r="AJ62" s="22"/>
      <c r="AK62" s="25"/>
      <c r="AL62" s="22"/>
      <c r="AM62" s="25"/>
      <c r="AN62" s="22"/>
      <c r="AO62" s="25"/>
      <c r="AP62" s="22"/>
      <c r="AQ62" s="25"/>
      <c r="AR62" s="22"/>
      <c r="AS62" s="25"/>
      <c r="AT62" s="22"/>
      <c r="AU62" s="25"/>
      <c r="AV62" s="22"/>
      <c r="AW62"/>
      <c r="AX62" s="74">
        <f>SUM(AV62,AT62,AR62,AP62,AN62,AL62,AJ62,AH62,AF62,AD62,AB62,Z62,X62,V62,T62,R62,P62,N62,L62,J62,H62,F62,D62)</f>
        <v>23.020000000000003</v>
      </c>
      <c r="AY62" s="22">
        <f t="shared" si="3"/>
        <v>21.819905213270147</v>
      </c>
    </row>
    <row r="63" spans="1:51" x14ac:dyDescent="0.25">
      <c r="A63" s="19" t="s">
        <v>114</v>
      </c>
      <c r="B63" s="20"/>
      <c r="C63" s="25">
        <v>0.28000000000000003</v>
      </c>
      <c r="D63" s="22">
        <v>4.2300000000000004</v>
      </c>
      <c r="E63" s="25"/>
      <c r="F63" s="22"/>
      <c r="G63" s="25"/>
      <c r="H63" s="22"/>
      <c r="I63" s="25"/>
      <c r="J63" s="22"/>
      <c r="K63" s="1"/>
      <c r="L63" s="73"/>
      <c r="M63" s="25"/>
      <c r="N63" s="22"/>
      <c r="O63" s="25"/>
      <c r="P63" s="22"/>
      <c r="Q63" s="25"/>
      <c r="R63" s="22"/>
      <c r="S63" s="25"/>
      <c r="T63" s="22"/>
      <c r="U63" s="25"/>
      <c r="V63" s="22"/>
      <c r="W63" s="25"/>
      <c r="X63" s="22"/>
      <c r="Y63" s="25"/>
      <c r="Z63" s="22"/>
      <c r="AA63" s="25"/>
      <c r="AB63" s="22"/>
      <c r="AC63" s="25"/>
      <c r="AD63" s="22"/>
      <c r="AE63" s="25"/>
      <c r="AF63" s="22"/>
      <c r="AG63" s="25"/>
      <c r="AH63" s="22"/>
      <c r="AI63" s="25"/>
      <c r="AJ63" s="22"/>
      <c r="AK63" s="25"/>
      <c r="AL63" s="22"/>
      <c r="AM63" s="25"/>
      <c r="AN63" s="22"/>
      <c r="AO63" s="25"/>
      <c r="AP63" s="22"/>
      <c r="AQ63" s="25"/>
      <c r="AR63" s="22"/>
      <c r="AS63" s="25"/>
      <c r="AT63" s="22"/>
      <c r="AU63" s="25"/>
      <c r="AV63" s="22"/>
      <c r="AW63"/>
      <c r="AX63" s="74">
        <f t="shared" si="4"/>
        <v>4.2300000000000004</v>
      </c>
      <c r="AY63" s="22">
        <f t="shared" si="3"/>
        <v>4.0094786729857823</v>
      </c>
    </row>
    <row r="64" spans="1:51" s="18" customFormat="1" x14ac:dyDescent="0.25">
      <c r="A64" s="12" t="s">
        <v>67</v>
      </c>
      <c r="B64" s="13"/>
      <c r="C64" s="14"/>
      <c r="D64" s="15">
        <f>SUM(D65:D66)</f>
        <v>0</v>
      </c>
      <c r="E64" s="14"/>
      <c r="F64" s="15">
        <f>SUM(F65:F66)</f>
        <v>2.5</v>
      </c>
      <c r="G64" s="14"/>
      <c r="H64" s="15">
        <f>SUM(H65:H66)</f>
        <v>2.5</v>
      </c>
      <c r="I64" s="14"/>
      <c r="J64" s="15">
        <f>SUM(J65:J66)</f>
        <v>5.4</v>
      </c>
      <c r="K64" s="70"/>
      <c r="L64" s="70">
        <f>SUM(L65:L66)</f>
        <v>0</v>
      </c>
      <c r="M64" s="14"/>
      <c r="N64" s="15">
        <f>SUM(N65:N66)</f>
        <v>7.9</v>
      </c>
      <c r="O64" s="14"/>
      <c r="P64" s="15">
        <f>SUM(P65:P66)</f>
        <v>10.8</v>
      </c>
      <c r="Q64" s="14"/>
      <c r="R64" s="15">
        <f>SUM(R65:R66)</f>
        <v>5.4</v>
      </c>
      <c r="S64" s="14"/>
      <c r="T64" s="15">
        <f>SUM(T65:T66)</f>
        <v>2.5</v>
      </c>
      <c r="U64" s="14"/>
      <c r="V64" s="15">
        <f>SUM(V65:V66)</f>
        <v>7.9</v>
      </c>
      <c r="W64" s="14"/>
      <c r="X64" s="15">
        <f>SUM(X65:X66)</f>
        <v>7.9</v>
      </c>
      <c r="Y64" s="14"/>
      <c r="Z64" s="15">
        <f>SUM(Z65:Z66)</f>
        <v>5</v>
      </c>
      <c r="AA64" s="14"/>
      <c r="AB64" s="15">
        <f>SUM(AB65:AB66)</f>
        <v>0</v>
      </c>
      <c r="AC64" s="14"/>
      <c r="AD64" s="15">
        <f>SUM(AD65:AD66)</f>
        <v>5</v>
      </c>
      <c r="AE64" s="14"/>
      <c r="AF64" s="15">
        <f>SUM(AF65:AF66)</f>
        <v>8.3000000000000007</v>
      </c>
      <c r="AG64" s="14"/>
      <c r="AH64" s="15">
        <f>SUM(AH65:AH66)</f>
        <v>2.5</v>
      </c>
      <c r="AI64" s="14"/>
      <c r="AJ64" s="15">
        <f>SUM(AJ65:AJ66)</f>
        <v>0</v>
      </c>
      <c r="AK64" s="14"/>
      <c r="AL64" s="15">
        <f>SUM(AL65:AL66)</f>
        <v>0</v>
      </c>
      <c r="AM64" s="14"/>
      <c r="AN64" s="15">
        <f>SUM(AN65:AN66)</f>
        <v>0</v>
      </c>
      <c r="AO64" s="14"/>
      <c r="AP64" s="15">
        <f>SUM(AP65:AP66)</f>
        <v>0</v>
      </c>
      <c r="AQ64" s="14"/>
      <c r="AR64" s="15">
        <f>SUM(AR65:AR66)</f>
        <v>0</v>
      </c>
      <c r="AS64" s="14"/>
      <c r="AT64" s="15">
        <f>SUM(AT65:AT66)</f>
        <v>0</v>
      </c>
      <c r="AU64" s="14"/>
      <c r="AV64" s="15">
        <f>SUM(AV65:AV66)</f>
        <v>0</v>
      </c>
      <c r="AX64" s="71">
        <f t="shared" si="4"/>
        <v>73.599999999999994</v>
      </c>
      <c r="AY64" s="15">
        <f t="shared" si="3"/>
        <v>69.763033175355446</v>
      </c>
    </row>
    <row r="65" spans="1:53" x14ac:dyDescent="0.25">
      <c r="A65" s="19" t="s">
        <v>68</v>
      </c>
      <c r="B65" s="20" t="s">
        <v>69</v>
      </c>
      <c r="C65" s="21"/>
      <c r="D65" s="22"/>
      <c r="E65" s="21">
        <v>1</v>
      </c>
      <c r="F65" s="22">
        <v>2.5</v>
      </c>
      <c r="G65" s="21">
        <v>1</v>
      </c>
      <c r="H65" s="22">
        <v>2.5</v>
      </c>
      <c r="I65" s="21">
        <v>1</v>
      </c>
      <c r="J65" s="22">
        <v>2.5</v>
      </c>
      <c r="K65" s="24"/>
      <c r="L65" s="73"/>
      <c r="M65" s="21">
        <v>2</v>
      </c>
      <c r="N65" s="22">
        <v>5</v>
      </c>
      <c r="O65" s="21">
        <v>2</v>
      </c>
      <c r="P65" s="22">
        <v>5</v>
      </c>
      <c r="Q65" s="21">
        <v>1</v>
      </c>
      <c r="R65" s="22">
        <v>2.5</v>
      </c>
      <c r="S65" s="21">
        <v>1</v>
      </c>
      <c r="T65" s="22">
        <v>2.5</v>
      </c>
      <c r="U65" s="21">
        <v>2</v>
      </c>
      <c r="V65" s="22">
        <v>5</v>
      </c>
      <c r="W65" s="21">
        <v>2</v>
      </c>
      <c r="X65" s="22">
        <v>5</v>
      </c>
      <c r="Y65" s="21">
        <v>2</v>
      </c>
      <c r="Z65" s="22">
        <v>5</v>
      </c>
      <c r="AA65" s="21"/>
      <c r="AB65" s="22"/>
      <c r="AC65" s="21">
        <v>2</v>
      </c>
      <c r="AD65" s="22">
        <v>5</v>
      </c>
      <c r="AE65" s="21">
        <v>1</v>
      </c>
      <c r="AF65" s="22">
        <v>2.5</v>
      </c>
      <c r="AG65" s="21">
        <v>1</v>
      </c>
      <c r="AH65" s="22">
        <v>2.5</v>
      </c>
      <c r="AI65" s="21"/>
      <c r="AJ65" s="22"/>
      <c r="AK65" s="21"/>
      <c r="AL65" s="22"/>
      <c r="AM65" s="21"/>
      <c r="AN65" s="22"/>
      <c r="AO65" s="21"/>
      <c r="AP65" s="22"/>
      <c r="AQ65" s="21"/>
      <c r="AR65" s="22"/>
      <c r="AS65" s="21"/>
      <c r="AT65" s="22"/>
      <c r="AU65" s="21"/>
      <c r="AV65" s="22"/>
      <c r="AW65"/>
      <c r="AX65" s="74">
        <f t="shared" si="4"/>
        <v>47.5</v>
      </c>
      <c r="AY65" s="22">
        <f t="shared" si="3"/>
        <v>45.023696682464461</v>
      </c>
      <c r="BA65" s="75"/>
    </row>
    <row r="66" spans="1:53" x14ac:dyDescent="0.25">
      <c r="A66" s="7" t="s">
        <v>70</v>
      </c>
      <c r="B66" s="8" t="s">
        <v>69</v>
      </c>
      <c r="C66" s="26"/>
      <c r="D66" s="10"/>
      <c r="E66" s="26"/>
      <c r="F66" s="10"/>
      <c r="G66" s="26"/>
      <c r="H66" s="10"/>
      <c r="I66" s="26">
        <v>1</v>
      </c>
      <c r="J66" s="10">
        <v>2.9</v>
      </c>
      <c r="K66" s="26"/>
      <c r="L66" s="68"/>
      <c r="M66" s="26">
        <v>1</v>
      </c>
      <c r="N66" s="10">
        <v>2.9</v>
      </c>
      <c r="O66" s="26">
        <v>2</v>
      </c>
      <c r="P66" s="10">
        <v>5.8</v>
      </c>
      <c r="Q66" s="26">
        <v>1</v>
      </c>
      <c r="R66" s="10">
        <v>2.9</v>
      </c>
      <c r="S66" s="26"/>
      <c r="T66" s="10"/>
      <c r="U66" s="26">
        <v>1</v>
      </c>
      <c r="V66" s="10">
        <v>2.9</v>
      </c>
      <c r="W66" s="26">
        <v>1</v>
      </c>
      <c r="X66" s="10">
        <v>2.9</v>
      </c>
      <c r="Y66" s="26"/>
      <c r="Z66" s="10"/>
      <c r="AA66" s="26"/>
      <c r="AB66" s="10"/>
      <c r="AC66" s="26"/>
      <c r="AD66" s="10"/>
      <c r="AE66" s="26">
        <v>2</v>
      </c>
      <c r="AF66" s="10">
        <v>5.8</v>
      </c>
      <c r="AG66" s="26"/>
      <c r="AH66" s="10"/>
      <c r="AI66" s="26"/>
      <c r="AJ66" s="10"/>
      <c r="AK66" s="26"/>
      <c r="AL66" s="10"/>
      <c r="AM66" s="26"/>
      <c r="AN66" s="10"/>
      <c r="AO66" s="26"/>
      <c r="AP66" s="10"/>
      <c r="AQ66" s="26"/>
      <c r="AR66" s="10"/>
      <c r="AS66" s="26"/>
      <c r="AT66" s="10"/>
      <c r="AU66" s="26"/>
      <c r="AV66" s="10"/>
      <c r="AW66"/>
      <c r="AX66" s="77">
        <f t="shared" si="4"/>
        <v>26.099999999999998</v>
      </c>
      <c r="AY66" s="10">
        <f t="shared" si="3"/>
        <v>24.739336492890995</v>
      </c>
    </row>
    <row r="67" spans="1:53" s="18" customFormat="1" x14ac:dyDescent="0.25">
      <c r="A67" s="12" t="s">
        <v>71</v>
      </c>
      <c r="B67" s="13"/>
      <c r="C67" s="14"/>
      <c r="D67" s="15">
        <f>SUM(D68:D68)</f>
        <v>0</v>
      </c>
      <c r="E67" s="14"/>
      <c r="F67" s="15">
        <f>SUM(F68:F68)</f>
        <v>0</v>
      </c>
      <c r="G67" s="14"/>
      <c r="H67" s="15">
        <f>SUM(H68:H68)</f>
        <v>0</v>
      </c>
      <c r="I67" s="14"/>
      <c r="J67" s="15">
        <f>SUM(J68:J68)</f>
        <v>0</v>
      </c>
      <c r="K67" s="70"/>
      <c r="L67" s="70"/>
      <c r="M67" s="14"/>
      <c r="N67" s="15">
        <f>SUM(N68:N68)</f>
        <v>0</v>
      </c>
      <c r="O67" s="14"/>
      <c r="P67" s="15">
        <f>SUM(P68:P68)</f>
        <v>0</v>
      </c>
      <c r="Q67" s="14"/>
      <c r="R67" s="15">
        <f>SUM(R68:R68)</f>
        <v>0</v>
      </c>
      <c r="S67" s="14"/>
      <c r="T67" s="15">
        <f>SUM(T68:T68)</f>
        <v>0</v>
      </c>
      <c r="U67" s="14"/>
      <c r="V67" s="15">
        <f>SUM(V68:V68)</f>
        <v>0</v>
      </c>
      <c r="W67" s="14"/>
      <c r="X67" s="15">
        <f>SUM(X68:X68)</f>
        <v>0</v>
      </c>
      <c r="Y67" s="14"/>
      <c r="Z67" s="15">
        <f>SUM(Z68:Z68)</f>
        <v>0</v>
      </c>
      <c r="AA67" s="14"/>
      <c r="AB67" s="15">
        <f>SUM(AB68:AB68)</f>
        <v>0</v>
      </c>
      <c r="AC67" s="14"/>
      <c r="AD67" s="15">
        <f>SUM(AD68:AD68)</f>
        <v>0</v>
      </c>
      <c r="AE67" s="14"/>
      <c r="AF67" s="15">
        <f>SUM(AF68:AF68)</f>
        <v>0</v>
      </c>
      <c r="AG67" s="14"/>
      <c r="AH67" s="15">
        <f>SUM(AH68:AH68)</f>
        <v>0</v>
      </c>
      <c r="AI67" s="14"/>
      <c r="AJ67" s="15">
        <f>SUM(AJ68:AJ68)</f>
        <v>0</v>
      </c>
      <c r="AK67" s="14"/>
      <c r="AL67" s="15">
        <f>SUM(AL68:AL68)</f>
        <v>0</v>
      </c>
      <c r="AM67" s="14"/>
      <c r="AN67" s="15">
        <f>SUM(AN68:AN68)</f>
        <v>0</v>
      </c>
      <c r="AO67" s="14"/>
      <c r="AP67" s="15">
        <f>SUM(AP68:AP68)</f>
        <v>0</v>
      </c>
      <c r="AQ67" s="14"/>
      <c r="AR67" s="15">
        <f>SUM(AR68:AR68)</f>
        <v>0</v>
      </c>
      <c r="AS67" s="14"/>
      <c r="AT67" s="15">
        <f>SUM(AT68:AT68)</f>
        <v>0</v>
      </c>
      <c r="AU67" s="14"/>
      <c r="AV67" s="15">
        <f>SUM(AV68:AV68)</f>
        <v>0</v>
      </c>
      <c r="AX67" s="71">
        <f t="shared" si="4"/>
        <v>0</v>
      </c>
      <c r="AY67" s="15">
        <f t="shared" si="3"/>
        <v>0</v>
      </c>
    </row>
    <row r="68" spans="1:53" x14ac:dyDescent="0.25">
      <c r="A68" s="7" t="s">
        <v>72</v>
      </c>
      <c r="B68" s="8" t="s">
        <v>73</v>
      </c>
      <c r="C68" s="26"/>
      <c r="D68" s="10"/>
      <c r="E68" s="26"/>
      <c r="F68" s="10"/>
      <c r="G68" s="26"/>
      <c r="H68" s="10"/>
      <c r="I68" s="26"/>
      <c r="J68" s="10"/>
      <c r="K68" s="76"/>
      <c r="L68" s="68"/>
      <c r="M68" s="26"/>
      <c r="N68" s="10"/>
      <c r="O68" s="26"/>
      <c r="P68" s="10"/>
      <c r="Q68" s="26"/>
      <c r="R68" s="10"/>
      <c r="S68" s="26"/>
      <c r="T68" s="10"/>
      <c r="U68" s="26"/>
      <c r="V68" s="10"/>
      <c r="W68" s="26"/>
      <c r="X68" s="10"/>
      <c r="Y68" s="26"/>
      <c r="Z68" s="10"/>
      <c r="AA68" s="26"/>
      <c r="AB68" s="10"/>
      <c r="AC68" s="26"/>
      <c r="AD68" s="10"/>
      <c r="AE68" s="26"/>
      <c r="AF68" s="10"/>
      <c r="AG68" s="26"/>
      <c r="AH68" s="10"/>
      <c r="AI68" s="26"/>
      <c r="AJ68" s="10"/>
      <c r="AK68" s="26"/>
      <c r="AL68" s="10"/>
      <c r="AM68" s="26"/>
      <c r="AN68" s="10"/>
      <c r="AO68" s="26"/>
      <c r="AP68" s="10"/>
      <c r="AQ68" s="26"/>
      <c r="AR68" s="10"/>
      <c r="AS68" s="26"/>
      <c r="AT68" s="10"/>
      <c r="AU68" s="26"/>
      <c r="AV68" s="10"/>
      <c r="AW68"/>
      <c r="AX68" s="77">
        <f t="shared" si="4"/>
        <v>0</v>
      </c>
      <c r="AY68" s="10">
        <f t="shared" si="3"/>
        <v>0</v>
      </c>
    </row>
    <row r="69" spans="1:53" s="30" customFormat="1" x14ac:dyDescent="0.25">
      <c r="A69" s="138" t="s">
        <v>74</v>
      </c>
      <c r="B69" s="138"/>
      <c r="C69" s="28"/>
      <c r="D69" s="29">
        <f>D3+D35+D55+D64+D67</f>
        <v>1355.91</v>
      </c>
      <c r="E69" s="28"/>
      <c r="F69" s="29">
        <f>F3+F35+F55+F64+F67</f>
        <v>534.48</v>
      </c>
      <c r="G69" s="28"/>
      <c r="H69" s="29">
        <f>H3+H35+H55+H64+H67</f>
        <v>895.67</v>
      </c>
      <c r="I69" s="28"/>
      <c r="J69" s="29">
        <f>J3+J35+J55+J64+J67</f>
        <v>604.19000000000005</v>
      </c>
      <c r="K69" s="29"/>
      <c r="L69" s="29">
        <f>L3+L35+L55+L64+L67</f>
        <v>1004.75</v>
      </c>
      <c r="M69" s="28"/>
      <c r="N69" s="29">
        <f>N3+N35+N55+N64+N67</f>
        <v>649.12999999999988</v>
      </c>
      <c r="O69" s="28"/>
      <c r="P69" s="29">
        <f>P3+P35+P55+P64+P67</f>
        <v>1010.74</v>
      </c>
      <c r="Q69" s="28"/>
      <c r="R69" s="29">
        <f>R3+R35+R55+R64+R67</f>
        <v>462.64999999999992</v>
      </c>
      <c r="S69" s="28"/>
      <c r="T69" s="29">
        <f>T3+T35+T55+T64+T67</f>
        <v>1235.5700000000002</v>
      </c>
      <c r="U69" s="28"/>
      <c r="V69" s="29">
        <f>V3+V35+V55+V64+V67</f>
        <v>475.14</v>
      </c>
      <c r="W69" s="28"/>
      <c r="X69" s="29">
        <f>X3+X35+X55+X64+X67</f>
        <v>1038.6200000000001</v>
      </c>
      <c r="Y69" s="28"/>
      <c r="Z69" s="29">
        <f>Z3+Z35+Z55+Z64+Z67</f>
        <v>475.53</v>
      </c>
      <c r="AA69" s="28"/>
      <c r="AB69" s="29">
        <f>AB3+AB35+AB55+AB64+AB67</f>
        <v>1065.55</v>
      </c>
      <c r="AC69" s="28"/>
      <c r="AD69" s="29">
        <f>AD3+AD35+AD55+AD64+AD67</f>
        <v>447.68999999999994</v>
      </c>
      <c r="AE69" s="28"/>
      <c r="AF69" s="29">
        <f>AF3+AF35+AF55+AF64+AF67</f>
        <v>901.27</v>
      </c>
      <c r="AG69" s="28"/>
      <c r="AH69" s="29">
        <f>AH3+AH35+AH55+AH64+AH67</f>
        <v>453.71000000000004</v>
      </c>
      <c r="AI69" s="28"/>
      <c r="AJ69" s="29">
        <f>AJ3+AJ35+AJ55+AJ64+AJ67</f>
        <v>1079.8000000000002</v>
      </c>
      <c r="AK69" s="28"/>
      <c r="AL69" s="29">
        <f>AL3+AL35+AL55+AL64+AL67</f>
        <v>0</v>
      </c>
      <c r="AM69" s="28"/>
      <c r="AN69" s="29">
        <f>AN3+AN35+AN55+AN64+AN67</f>
        <v>0</v>
      </c>
      <c r="AO69" s="28"/>
      <c r="AP69" s="29">
        <f>AP3+AP35+AP55+AP64+AP67</f>
        <v>0</v>
      </c>
      <c r="AQ69" s="28"/>
      <c r="AR69" s="29">
        <f>AR3+AR35+AR55+AR64+AR67</f>
        <v>0</v>
      </c>
      <c r="AS69" s="28"/>
      <c r="AT69" s="29">
        <f>AT3+AT35+AT55+AT64+AT67</f>
        <v>0</v>
      </c>
      <c r="AU69" s="28"/>
      <c r="AV69" s="29">
        <f>AV3+AV35+AV55+AV64+AV67</f>
        <v>0</v>
      </c>
      <c r="AW69" s="29"/>
      <c r="AX69" s="28">
        <f>SUM(AV69,AT69,AR69,AP69,AN69,AL69,AJ69,AH69,AF69,AD69,AB69,Z69,X69,V69,T69,R69,P69,N69,L69,J69,H69,F69,D69)</f>
        <v>13690.4</v>
      </c>
      <c r="AY69" s="29">
        <f t="shared" si="3"/>
        <v>12976.682464454976</v>
      </c>
    </row>
    <row r="70" spans="1:53" x14ac:dyDescent="0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Y70" s="78"/>
      <c r="AZ70" s="91"/>
    </row>
    <row r="71" spans="1:53" x14ac:dyDescent="0.25">
      <c r="A71" s="139" t="s">
        <v>75</v>
      </c>
      <c r="B71" s="33" t="s">
        <v>76</v>
      </c>
      <c r="C71" s="108"/>
      <c r="D71" s="109">
        <f>1248.1-17.14</f>
        <v>1230.9599999999998</v>
      </c>
      <c r="E71" s="108"/>
      <c r="F71" s="110">
        <f>553-48.68</f>
        <v>504.32</v>
      </c>
      <c r="G71" s="108"/>
      <c r="H71" s="111">
        <f>803.2-33.71</f>
        <v>769.49</v>
      </c>
      <c r="I71" s="108"/>
      <c r="J71" s="111">
        <f>655-50.51</f>
        <v>604.49</v>
      </c>
      <c r="K71" s="110"/>
      <c r="L71" s="110">
        <f>991-39.88</f>
        <v>951.12</v>
      </c>
      <c r="M71" s="108"/>
      <c r="N71" s="111">
        <f>617</f>
        <v>617</v>
      </c>
      <c r="O71" s="108"/>
      <c r="P71" s="111">
        <f>895.9</f>
        <v>895.9</v>
      </c>
      <c r="Q71" s="108"/>
      <c r="R71" s="110">
        <f>480-17.88</f>
        <v>462.12</v>
      </c>
      <c r="S71" s="108"/>
      <c r="T71" s="111">
        <f>1143.7-29.59</f>
        <v>1114.1100000000001</v>
      </c>
      <c r="U71" s="108"/>
      <c r="V71" s="111">
        <f>520-60.73</f>
        <v>459.27</v>
      </c>
      <c r="W71" s="108"/>
      <c r="X71" s="111">
        <f>968.3-50.32</f>
        <v>917.9799999999999</v>
      </c>
      <c r="Y71" s="108"/>
      <c r="Z71" s="111">
        <f>505-29.9</f>
        <v>475.1</v>
      </c>
      <c r="AA71" s="108"/>
      <c r="AB71" s="111">
        <f>1014.9-54.07</f>
        <v>960.82999999999993</v>
      </c>
      <c r="AC71" s="108"/>
      <c r="AD71" s="111">
        <f>490-53.44</f>
        <v>436.56</v>
      </c>
      <c r="AE71" s="108"/>
      <c r="AF71" s="111">
        <f>856.9-36.13</f>
        <v>820.77</v>
      </c>
      <c r="AG71" s="108"/>
      <c r="AH71" s="111">
        <f>442-22</f>
        <v>420</v>
      </c>
      <c r="AI71" s="108"/>
      <c r="AJ71" s="111">
        <f>1027.4-64.83</f>
        <v>962.57</v>
      </c>
      <c r="AK71" s="34"/>
      <c r="AL71" s="103"/>
      <c r="AM71" s="34"/>
      <c r="AN71" s="103"/>
      <c r="AO71" s="34"/>
      <c r="AP71" s="103"/>
      <c r="AQ71" s="34"/>
      <c r="AR71" s="103"/>
      <c r="AS71" s="34"/>
      <c r="AT71" s="103"/>
      <c r="AU71" s="34"/>
      <c r="AV71" s="103"/>
      <c r="AW71" s="79"/>
      <c r="AX71" s="92">
        <f>SUM(D71,F71,H71,J71,L71,N71,P71,R71,T71,V71,X71,Z71,AB71,AD71,AF71,AH71,AJ71,AL71,AN71,AP71,AR71,AT71,AV71)</f>
        <v>12602.589999999998</v>
      </c>
      <c r="AY71" s="37">
        <f>AX71/1.055</f>
        <v>11945.582938388625</v>
      </c>
    </row>
    <row r="72" spans="1:53" x14ac:dyDescent="0.25">
      <c r="A72" s="139"/>
      <c r="B72" s="38" t="s">
        <v>77</v>
      </c>
      <c r="C72" s="120">
        <v>4</v>
      </c>
      <c r="D72" s="113">
        <v>74.58</v>
      </c>
      <c r="E72" s="120">
        <v>1</v>
      </c>
      <c r="F72" s="114">
        <v>30.1</v>
      </c>
      <c r="G72" s="120">
        <v>7</v>
      </c>
      <c r="H72" s="115">
        <v>117.65</v>
      </c>
      <c r="I72" s="112"/>
      <c r="J72" s="115"/>
      <c r="K72" s="121">
        <v>3</v>
      </c>
      <c r="L72" s="114">
        <v>53</v>
      </c>
      <c r="M72" s="120">
        <v>2</v>
      </c>
      <c r="N72" s="115">
        <v>32.5</v>
      </c>
      <c r="O72" s="120">
        <v>6</v>
      </c>
      <c r="P72" s="115">
        <v>114.1</v>
      </c>
      <c r="Q72" s="112"/>
      <c r="R72" s="114"/>
      <c r="S72" s="120">
        <v>6</v>
      </c>
      <c r="T72" s="115">
        <v>121.6</v>
      </c>
      <c r="U72" s="120">
        <v>2</v>
      </c>
      <c r="V72" s="115">
        <v>16.72</v>
      </c>
      <c r="W72" s="120">
        <v>4</v>
      </c>
      <c r="X72" s="115">
        <v>70.400000000000006</v>
      </c>
      <c r="Y72" s="112"/>
      <c r="Z72" s="115"/>
      <c r="AA72" s="120">
        <v>5</v>
      </c>
      <c r="AB72" s="115">
        <v>104.5</v>
      </c>
      <c r="AC72" s="112"/>
      <c r="AD72" s="115"/>
      <c r="AE72" s="120">
        <v>4</v>
      </c>
      <c r="AF72" s="115">
        <v>80.5</v>
      </c>
      <c r="AG72" s="120">
        <v>1</v>
      </c>
      <c r="AH72" s="115">
        <v>5.5</v>
      </c>
      <c r="AI72" s="120">
        <v>7</v>
      </c>
      <c r="AJ72" s="115">
        <v>117</v>
      </c>
      <c r="AK72" s="39"/>
      <c r="AL72" s="104"/>
      <c r="AM72" s="39"/>
      <c r="AN72" s="104"/>
      <c r="AO72" s="39"/>
      <c r="AP72" s="104"/>
      <c r="AQ72" s="39"/>
      <c r="AR72" s="104"/>
      <c r="AS72" s="39"/>
      <c r="AT72" s="104"/>
      <c r="AU72" s="39"/>
      <c r="AV72" s="104"/>
      <c r="AW72" s="80"/>
      <c r="AX72" s="93">
        <f>SUM(D72,F72,H72,J72,L72,N72,P72,R72,T72,V72,X72,Z72,AB72,AD72,AF72,AH72,AJ72,AL72,AN72,AP72,AR72,AT72,AV72)</f>
        <v>938.15000000000009</v>
      </c>
      <c r="AY72" s="42">
        <f>AX72/1.055</f>
        <v>889.24170616113759</v>
      </c>
    </row>
    <row r="73" spans="1:53" x14ac:dyDescent="0.25">
      <c r="A73" s="139"/>
      <c r="B73" s="38" t="s">
        <v>245</v>
      </c>
      <c r="C73" s="112"/>
      <c r="D73" s="113"/>
      <c r="E73" s="112"/>
      <c r="F73" s="114"/>
      <c r="G73" s="112"/>
      <c r="H73" s="115"/>
      <c r="I73" s="112"/>
      <c r="J73" s="115"/>
      <c r="K73" s="114"/>
      <c r="L73" s="114"/>
      <c r="M73" s="112"/>
      <c r="N73" s="115"/>
      <c r="O73" s="112"/>
      <c r="P73" s="115"/>
      <c r="Q73" s="112"/>
      <c r="R73" s="114"/>
      <c r="S73" s="112"/>
      <c r="T73" s="115"/>
      <c r="U73" s="112"/>
      <c r="V73" s="115"/>
      <c r="W73" s="112"/>
      <c r="X73" s="115"/>
      <c r="Y73" s="112"/>
      <c r="Z73" s="115"/>
      <c r="AA73" s="112"/>
      <c r="AB73" s="115"/>
      <c r="AC73" s="112"/>
      <c r="AD73" s="115"/>
      <c r="AE73" s="112"/>
      <c r="AF73" s="115"/>
      <c r="AG73" s="112"/>
      <c r="AH73" s="115"/>
      <c r="AI73" s="112"/>
      <c r="AJ73" s="115"/>
      <c r="AK73" s="39"/>
      <c r="AL73" s="104"/>
      <c r="AM73" s="39"/>
      <c r="AN73" s="104"/>
      <c r="AO73" s="39"/>
      <c r="AP73" s="104"/>
      <c r="AQ73" s="39"/>
      <c r="AR73" s="104"/>
      <c r="AS73" s="39"/>
      <c r="AT73" s="104"/>
      <c r="AU73" s="39"/>
      <c r="AV73" s="104"/>
      <c r="AW73" s="80"/>
      <c r="AX73" s="93">
        <f>D73+F73+H73+J73+L73+N73+P73+R73+T73+V73+Z73+X73+AB73+AD73+AF73+AH73+AJ73+AL73+AN73+AP73+AR73+AT73+AV73</f>
        <v>0</v>
      </c>
      <c r="AY73" s="42"/>
    </row>
    <row r="74" spans="1:53" x14ac:dyDescent="0.25">
      <c r="A74" s="139"/>
      <c r="B74" s="38" t="s">
        <v>157</v>
      </c>
      <c r="C74" s="112"/>
      <c r="D74" s="113">
        <v>50</v>
      </c>
      <c r="E74" s="112"/>
      <c r="F74" s="114"/>
      <c r="G74" s="112"/>
      <c r="H74" s="115"/>
      <c r="I74" s="112"/>
      <c r="J74" s="115"/>
      <c r="K74" s="114"/>
      <c r="L74" s="114"/>
      <c r="M74" s="112"/>
      <c r="N74" s="115"/>
      <c r="O74" s="112"/>
      <c r="P74" s="115"/>
      <c r="Q74" s="112"/>
      <c r="R74" s="114"/>
      <c r="S74" s="112"/>
      <c r="T74" s="115"/>
      <c r="U74" s="112"/>
      <c r="V74" s="115"/>
      <c r="W74" s="112"/>
      <c r="X74" s="115">
        <v>50</v>
      </c>
      <c r="Y74" s="112"/>
      <c r="Z74" s="115"/>
      <c r="AA74" s="112"/>
      <c r="AB74" s="115"/>
      <c r="AC74" s="112"/>
      <c r="AD74" s="115"/>
      <c r="AE74" s="112"/>
      <c r="AF74" s="115"/>
      <c r="AG74" s="112"/>
      <c r="AH74" s="115"/>
      <c r="AI74" s="112"/>
      <c r="AJ74" s="115"/>
      <c r="AK74" s="43"/>
      <c r="AL74" s="104"/>
      <c r="AM74" s="43"/>
      <c r="AN74" s="104"/>
      <c r="AO74" s="43"/>
      <c r="AP74" s="104"/>
      <c r="AQ74" s="43"/>
      <c r="AR74" s="104"/>
      <c r="AS74" s="43"/>
      <c r="AT74" s="104"/>
      <c r="AU74" s="43"/>
      <c r="AV74" s="104"/>
      <c r="AW74" s="81"/>
      <c r="AX74" s="94"/>
      <c r="AY74" s="42"/>
    </row>
    <row r="75" spans="1:53" s="51" customFormat="1" x14ac:dyDescent="0.25">
      <c r="A75" s="139"/>
      <c r="B75" s="44" t="s">
        <v>78</v>
      </c>
      <c r="C75" s="116"/>
      <c r="D75" s="117">
        <f>SUM(D71:D74)</f>
        <v>1355.5399999999997</v>
      </c>
      <c r="E75" s="116"/>
      <c r="F75" s="118">
        <f>SUM(F71:F74)</f>
        <v>534.41999999999996</v>
      </c>
      <c r="G75" s="116"/>
      <c r="H75" s="119">
        <f>SUM(H71:H74)</f>
        <v>887.14</v>
      </c>
      <c r="I75" s="116"/>
      <c r="J75" s="119">
        <f>SUM(J71:J74)</f>
        <v>604.49</v>
      </c>
      <c r="K75" s="118"/>
      <c r="L75" s="118">
        <f>SUM(L71:L74)</f>
        <v>1004.12</v>
      </c>
      <c r="M75" s="116"/>
      <c r="N75" s="119">
        <f>SUM(N71:N74)</f>
        <v>649.5</v>
      </c>
      <c r="O75" s="116"/>
      <c r="P75" s="119">
        <f>SUM(P71:P74)</f>
        <v>1010</v>
      </c>
      <c r="Q75" s="116"/>
      <c r="R75" s="118">
        <f>SUM(R71:R74)</f>
        <v>462.12</v>
      </c>
      <c r="S75" s="116"/>
      <c r="T75" s="119">
        <f>SUM(T71:T74)</f>
        <v>1235.71</v>
      </c>
      <c r="U75" s="116"/>
      <c r="V75" s="119">
        <f>SUM(V71:V74)</f>
        <v>475.99</v>
      </c>
      <c r="W75" s="116"/>
      <c r="X75" s="119">
        <f>SUM(X71:X74)</f>
        <v>1038.3799999999999</v>
      </c>
      <c r="Y75" s="116"/>
      <c r="Z75" s="119">
        <f>SUM(Z71:Z74)</f>
        <v>475.1</v>
      </c>
      <c r="AA75" s="116"/>
      <c r="AB75" s="119">
        <f>SUM(AB71:AB74)</f>
        <v>1065.33</v>
      </c>
      <c r="AC75" s="116"/>
      <c r="AD75" s="119">
        <f>SUM(AD71:AD74)</f>
        <v>436.56</v>
      </c>
      <c r="AE75" s="116"/>
      <c r="AF75" s="119">
        <f>SUM(AF71:AF74)</f>
        <v>901.27</v>
      </c>
      <c r="AG75" s="116"/>
      <c r="AH75" s="119">
        <f>SUM(AH71:AH74)</f>
        <v>425.5</v>
      </c>
      <c r="AI75" s="116"/>
      <c r="AJ75" s="119">
        <f>SUM(AJ71:AJ74)</f>
        <v>1079.5700000000002</v>
      </c>
      <c r="AK75" s="105"/>
      <c r="AL75" s="107">
        <f>SUM(AL71:AL74)</f>
        <v>0</v>
      </c>
      <c r="AM75" s="105"/>
      <c r="AN75" s="107">
        <f>SUM(AN71:AN74)</f>
        <v>0</v>
      </c>
      <c r="AO75" s="105"/>
      <c r="AP75" s="107">
        <f>SUM(AP71:AP74)</f>
        <v>0</v>
      </c>
      <c r="AQ75" s="105"/>
      <c r="AR75" s="107">
        <f>SUM(AR71:AR74)</f>
        <v>0</v>
      </c>
      <c r="AS75" s="105"/>
      <c r="AT75" s="107">
        <f>SUM(AT71:AT74)</f>
        <v>0</v>
      </c>
      <c r="AU75" s="105"/>
      <c r="AV75" s="107">
        <f>SUM(AV71:AV74)</f>
        <v>0</v>
      </c>
      <c r="AW75" s="82"/>
      <c r="AX75" s="95">
        <f>SUM(AX71:AX74)</f>
        <v>13540.739999999998</v>
      </c>
      <c r="AY75" s="48">
        <f>SUM(AY71:AY74)</f>
        <v>12834.824644549763</v>
      </c>
    </row>
    <row r="76" spans="1:53" ht="15" customHeight="1" x14ac:dyDescent="0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83"/>
      <c r="N76" s="83"/>
      <c r="O76" s="147"/>
      <c r="P76" s="147"/>
      <c r="Q76" s="83"/>
      <c r="R76" s="83"/>
      <c r="S76" s="83"/>
      <c r="T76" s="83"/>
      <c r="U76" s="83"/>
      <c r="V76" s="83"/>
      <c r="W76" s="32"/>
      <c r="X76" s="32"/>
      <c r="Y76" s="32"/>
      <c r="Z76" s="32"/>
      <c r="AA76" s="32"/>
      <c r="AB76" s="32"/>
      <c r="AC76" s="32"/>
      <c r="AD76" s="32"/>
      <c r="AE76" s="66"/>
      <c r="AF76" s="66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53" x14ac:dyDescent="0.25">
      <c r="M77" s="32"/>
      <c r="N77" s="32"/>
      <c r="AE77" s="66"/>
      <c r="AF77" s="66"/>
    </row>
    <row r="78" spans="1:53" x14ac:dyDescent="0.25">
      <c r="AE78" s="66"/>
      <c r="AF78" s="66"/>
      <c r="AX78" s="2">
        <f>AX67+AX64+AX55+AX35+AX3</f>
        <v>13690.4</v>
      </c>
    </row>
    <row r="79" spans="1:53" x14ac:dyDescent="0.25">
      <c r="AX79" s="2">
        <f>SUM(AX3:AX68)-AX78</f>
        <v>13690.399999999989</v>
      </c>
    </row>
  </sheetData>
  <mergeCells count="28">
    <mergeCell ref="A69:B69"/>
    <mergeCell ref="A71:A75"/>
    <mergeCell ref="O76:P76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FF"/>
  </sheetPr>
  <dimension ref="A1:BA80"/>
  <sheetViews>
    <sheetView windowProtection="1" zoomScaleNormal="100" workbookViewId="0">
      <pane xSplit="2" ySplit="2" topLeftCell="D3" activePane="bottomRight" state="frozen"/>
      <selection pane="topRight" activeCell="C1" sqref="C1"/>
      <selection pane="bottomLeft" activeCell="A57" sqref="A57"/>
      <selection pane="bottomRight" activeCell="AY32" sqref="AY32:AY33"/>
    </sheetView>
  </sheetViews>
  <sheetFormatPr baseColWidth="10" defaultColWidth="9.140625" defaultRowHeight="15" x14ac:dyDescent="0.25"/>
  <cols>
    <col min="1" max="1" width="28"/>
    <col min="2" max="2" width="10.42578125"/>
    <col min="3" max="3" width="9.140625" style="1"/>
    <col min="4" max="4" width="10.85546875" style="2"/>
    <col min="5" max="5" width="9.140625" style="1"/>
    <col min="6" max="6" width="9.42578125" style="2"/>
    <col min="7" max="7" width="9.140625" style="1"/>
    <col min="8" max="8" width="10" style="2"/>
    <col min="9" max="9" width="9.140625" style="1"/>
    <col min="10" max="10" width="10.85546875" style="2" bestFit="1" customWidth="1"/>
    <col min="11" max="11" width="9.140625" style="2"/>
    <col min="12" max="12" width="10.85546875" style="2"/>
    <col min="13" max="13" width="9.140625" style="1"/>
    <col min="14" max="14" width="9.42578125" style="2"/>
    <col min="15" max="15" width="9.140625" style="1"/>
    <col min="16" max="16" width="10.85546875" style="2"/>
    <col min="17" max="17" width="9.140625" style="1"/>
    <col min="18" max="18" width="10" style="2"/>
    <col min="19" max="19" width="9.140625" style="1"/>
    <col min="20" max="20" width="10.85546875" style="2"/>
    <col min="21" max="21" width="9.140625" style="1"/>
    <col min="22" max="22" width="10" style="2" bestFit="1" customWidth="1"/>
    <col min="23" max="23" width="9.140625" style="1"/>
    <col min="24" max="24" width="10.85546875" style="2"/>
    <col min="25" max="25" width="9.140625" style="1"/>
    <col min="26" max="26" width="10" style="2"/>
    <col min="27" max="27" width="12.42578125" style="1" customWidth="1"/>
    <col min="28" max="28" width="10.85546875" style="2"/>
    <col min="29" max="29" width="9.140625" style="1"/>
    <col min="30" max="30" width="10.85546875" style="2" bestFit="1" customWidth="1"/>
    <col min="31" max="31" width="9.140625" style="1"/>
    <col min="32" max="32" width="10.85546875" style="2"/>
    <col min="33" max="33" width="9.140625" style="1"/>
    <col min="34" max="34" width="10" style="2"/>
    <col min="35" max="35" width="9.140625" style="1"/>
    <col min="36" max="36" width="10.85546875" style="2"/>
    <col min="37" max="37" width="9.140625" style="1"/>
    <col min="38" max="38" width="9.140625" style="2"/>
    <col min="39" max="39" width="9.140625" style="1"/>
    <col min="40" max="40" width="9.140625" style="2"/>
    <col min="41" max="41" width="9.140625" style="1"/>
    <col min="42" max="42" width="9.140625" style="2"/>
    <col min="43" max="43" width="9.140625" style="1"/>
    <col min="44" max="44" width="9.140625" style="2"/>
    <col min="45" max="45" width="9.140625" style="1"/>
    <col min="46" max="46" width="9.140625" style="2"/>
    <col min="47" max="47" width="9.140625" style="1"/>
    <col min="48" max="48" width="10" style="2"/>
    <col min="49" max="49" width="9.140625" style="2"/>
    <col min="50" max="51" width="11.85546875" bestFit="1" customWidth="1"/>
  </cols>
  <sheetData>
    <row r="1" spans="1:51" s="6" customFormat="1" ht="28.5" customHeight="1" x14ac:dyDescent="0.25">
      <c r="A1" s="3"/>
      <c r="B1" s="4" t="s">
        <v>0</v>
      </c>
      <c r="C1" s="136" t="s">
        <v>265</v>
      </c>
      <c r="D1" s="136"/>
      <c r="E1" s="136" t="s">
        <v>266</v>
      </c>
      <c r="F1" s="136"/>
      <c r="G1" s="136" t="s">
        <v>267</v>
      </c>
      <c r="H1" s="136"/>
      <c r="I1" s="136" t="s">
        <v>268</v>
      </c>
      <c r="J1" s="136"/>
      <c r="K1" s="145" t="s">
        <v>269</v>
      </c>
      <c r="L1" s="145"/>
      <c r="M1" s="136" t="s">
        <v>270</v>
      </c>
      <c r="N1" s="136"/>
      <c r="O1" s="136" t="s">
        <v>271</v>
      </c>
      <c r="P1" s="136"/>
      <c r="Q1" s="136" t="s">
        <v>272</v>
      </c>
      <c r="R1" s="136"/>
      <c r="S1" s="136" t="s">
        <v>273</v>
      </c>
      <c r="T1" s="136"/>
      <c r="U1" s="136" t="s">
        <v>274</v>
      </c>
      <c r="V1" s="136"/>
      <c r="W1" s="136" t="s">
        <v>275</v>
      </c>
      <c r="X1" s="136"/>
      <c r="Y1" s="136" t="s">
        <v>276</v>
      </c>
      <c r="Z1" s="136"/>
      <c r="AA1" s="136" t="s">
        <v>277</v>
      </c>
      <c r="AB1" s="136"/>
      <c r="AC1" s="136" t="s">
        <v>279</v>
      </c>
      <c r="AD1" s="136"/>
      <c r="AE1" s="136" t="s">
        <v>280</v>
      </c>
      <c r="AF1" s="136"/>
      <c r="AG1" s="136" t="s">
        <v>281</v>
      </c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SUM(D4:D34)</f>
        <v>417.06000000000006</v>
      </c>
      <c r="E3" s="14"/>
      <c r="F3" s="15">
        <f>SUM(F4:F34)</f>
        <v>856.97</v>
      </c>
      <c r="G3" s="14"/>
      <c r="H3" s="15">
        <f>SUM(H4:H34)</f>
        <v>472.46000000000004</v>
      </c>
      <c r="I3" s="14"/>
      <c r="J3" s="15">
        <f>SUM(J4:J34)</f>
        <v>1127.71</v>
      </c>
      <c r="K3" s="70"/>
      <c r="L3" s="70">
        <f>SUM(L4:L34)</f>
        <v>496.90999999999991</v>
      </c>
      <c r="M3" s="14"/>
      <c r="N3" s="15">
        <f>SUM(N4:N34)</f>
        <v>708.5</v>
      </c>
      <c r="O3" s="14"/>
      <c r="P3" s="15">
        <f>SUM(P4:P34)</f>
        <v>451.24000000000007</v>
      </c>
      <c r="Q3" s="14"/>
      <c r="R3" s="15">
        <f>SUM(R4:R34)</f>
        <v>836.05</v>
      </c>
      <c r="S3" s="14"/>
      <c r="T3" s="15">
        <f>SUM(T4:T34)</f>
        <v>835.69000000000017</v>
      </c>
      <c r="U3" s="14"/>
      <c r="V3" s="15">
        <f>SUM(V4:V34)</f>
        <v>517.26</v>
      </c>
      <c r="W3" s="14"/>
      <c r="X3" s="15">
        <f>SUM(X4:X34)</f>
        <v>972.85</v>
      </c>
      <c r="Y3" s="14"/>
      <c r="Z3" s="15">
        <f>SUM(Z4:Z34)</f>
        <v>519.02999999999986</v>
      </c>
      <c r="AA3" s="14"/>
      <c r="AB3" s="15">
        <f>SUM(AB4:AB34)</f>
        <v>676.99000000000012</v>
      </c>
      <c r="AC3" s="14"/>
      <c r="AD3" s="15">
        <f>SUM(AD4:AD34)</f>
        <v>996.81999999999994</v>
      </c>
      <c r="AE3" s="14"/>
      <c r="AF3" s="15">
        <f>SUM(AF4:AF34)</f>
        <v>450.45</v>
      </c>
      <c r="AG3" s="14"/>
      <c r="AH3" s="15">
        <f>SUM(AH4:AH34)</f>
        <v>434.53</v>
      </c>
      <c r="AI3" s="14"/>
      <c r="AJ3" s="15">
        <f>SUM(AJ4:AJ34)</f>
        <v>0</v>
      </c>
      <c r="AK3" s="14"/>
      <c r="AL3" s="15">
        <f>SUM(AL4:AL34)</f>
        <v>0</v>
      </c>
      <c r="AM3" s="14"/>
      <c r="AN3" s="15">
        <f>SUM(AN4:AN34)</f>
        <v>0</v>
      </c>
      <c r="AO3" s="14"/>
      <c r="AP3" s="15">
        <f>SUM(AP4:AP34)</f>
        <v>0</v>
      </c>
      <c r="AQ3" s="14"/>
      <c r="AR3" s="15">
        <f>SUM(AR4:AR34)</f>
        <v>0</v>
      </c>
      <c r="AS3" s="14"/>
      <c r="AT3" s="15">
        <f>SUM(AT4:AT34)</f>
        <v>0</v>
      </c>
      <c r="AU3" s="14"/>
      <c r="AV3" s="15">
        <f>SUM(AV4:AV34)</f>
        <v>0</v>
      </c>
      <c r="AX3" s="84">
        <f t="shared" ref="AX3:AX33" si="0">SUM(AV3,AT3,AR3,AP3,AN3,AL3,AJ3,AH3,AF3,AD3,AB3,Z3,X3,V3,T3,R3,P3,N3,L3,J3,H3,F3,D3)</f>
        <v>10770.519999999997</v>
      </c>
      <c r="AY3" s="15">
        <f t="shared" ref="AY3:AY33" si="1">AX3/1.055</f>
        <v>10209.023696682461</v>
      </c>
    </row>
    <row r="4" spans="1:51" x14ac:dyDescent="0.25">
      <c r="A4" s="19" t="s">
        <v>25</v>
      </c>
      <c r="B4" s="20" t="s">
        <v>26</v>
      </c>
      <c r="C4" s="21">
        <v>40</v>
      </c>
      <c r="D4" s="2">
        <v>140</v>
      </c>
      <c r="E4" s="21">
        <f>18+2*4+3*15</f>
        <v>71</v>
      </c>
      <c r="F4" s="22">
        <f>67.96+31.2+165</f>
        <v>264.15999999999997</v>
      </c>
      <c r="G4" s="21">
        <v>42</v>
      </c>
      <c r="H4" s="22">
        <v>155.4</v>
      </c>
      <c r="I4" s="21">
        <f>18+2*10+3*7</f>
        <v>59</v>
      </c>
      <c r="J4" s="22">
        <f>70.2+78+77+50</f>
        <v>275.2</v>
      </c>
      <c r="K4" s="72">
        <v>35</v>
      </c>
      <c r="L4" s="73">
        <v>129.5</v>
      </c>
      <c r="M4" s="21">
        <f>22+2*4+3*9</f>
        <v>57</v>
      </c>
      <c r="N4" s="22">
        <f>85.8+31.2+99</f>
        <v>216</v>
      </c>
      <c r="O4" s="21">
        <v>53</v>
      </c>
      <c r="P4" s="22">
        <v>196.5</v>
      </c>
      <c r="Q4" s="21">
        <f>19+2*8+3*11</f>
        <v>68</v>
      </c>
      <c r="R4" s="22">
        <f>74.1+62.4+121</f>
        <v>257.5</v>
      </c>
      <c r="S4" s="21">
        <f>16+2*5+3*10</f>
        <v>56</v>
      </c>
      <c r="T4" s="22">
        <f>62.4+39+110</f>
        <v>211.4</v>
      </c>
      <c r="U4" s="21">
        <v>40</v>
      </c>
      <c r="V4" s="22">
        <v>148</v>
      </c>
      <c r="W4" s="21">
        <f>20+2*9+3*9</f>
        <v>65</v>
      </c>
      <c r="X4" s="22">
        <f>78+70.2+99</f>
        <v>247.2</v>
      </c>
      <c r="Y4" s="21">
        <v>33</v>
      </c>
      <c r="Z4" s="22">
        <v>122.1</v>
      </c>
      <c r="AA4" s="21">
        <f>15+3*2+3*5</f>
        <v>36</v>
      </c>
      <c r="AB4" s="22">
        <f>54.64+23.4+55</f>
        <v>133.04</v>
      </c>
      <c r="AC4" s="21">
        <f>19+2*9+3*9</f>
        <v>64</v>
      </c>
      <c r="AD4" s="22">
        <f>74.1+70.2+99</f>
        <v>243.3</v>
      </c>
      <c r="AE4" s="21">
        <v>33</v>
      </c>
      <c r="AF4" s="22">
        <v>122.1</v>
      </c>
      <c r="AG4" s="21">
        <v>37</v>
      </c>
      <c r="AH4" s="22">
        <v>136.9</v>
      </c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2998.2999999999997</v>
      </c>
      <c r="AY4" s="22">
        <f t="shared" si="1"/>
        <v>2841.990521327014</v>
      </c>
    </row>
    <row r="5" spans="1:51" x14ac:dyDescent="0.25">
      <c r="A5" s="19" t="s">
        <v>27</v>
      </c>
      <c r="B5" s="20" t="s">
        <v>26</v>
      </c>
      <c r="C5" s="21">
        <v>12</v>
      </c>
      <c r="D5" s="22">
        <v>95.2</v>
      </c>
      <c r="E5" s="21">
        <f>16+2*6+3*7</f>
        <v>49</v>
      </c>
      <c r="F5" s="22">
        <f>57.6+43.2+70</f>
        <v>170.8</v>
      </c>
      <c r="G5" s="21">
        <v>18</v>
      </c>
      <c r="H5" s="22">
        <f>61.2+12</f>
        <v>73.2</v>
      </c>
      <c r="I5" s="21">
        <f>29+2*5+3*7</f>
        <v>60</v>
      </c>
      <c r="J5" s="22">
        <f>104.4+36+70+50</f>
        <v>260.39999999999998</v>
      </c>
      <c r="K5" s="72">
        <v>36</v>
      </c>
      <c r="L5" s="73">
        <v>122.4</v>
      </c>
      <c r="M5" s="21">
        <f>20+2*2+3*10</f>
        <v>54</v>
      </c>
      <c r="N5" s="22">
        <f>72+14.4+100</f>
        <v>186.4</v>
      </c>
      <c r="O5" s="21">
        <v>27</v>
      </c>
      <c r="P5" s="22">
        <v>116.1</v>
      </c>
      <c r="Q5" s="21">
        <f>17+2*4+3*10</f>
        <v>55</v>
      </c>
      <c r="R5" s="22">
        <f>61.2+28.8+100</f>
        <v>190</v>
      </c>
      <c r="S5" s="21">
        <f>17+2*2+3*11</f>
        <v>54</v>
      </c>
      <c r="T5" s="22">
        <f>58.54+14.4+110</f>
        <v>182.94</v>
      </c>
      <c r="U5" s="21">
        <v>16</v>
      </c>
      <c r="V5" s="22">
        <v>54.4</v>
      </c>
      <c r="W5" s="21">
        <f>19+2*5+3*7</f>
        <v>50</v>
      </c>
      <c r="X5">
        <f>68.4+31.28+70</f>
        <v>169.68</v>
      </c>
      <c r="Y5" s="21">
        <v>19</v>
      </c>
      <c r="Z5" s="22">
        <f>64.6+3</f>
        <v>67.599999999999994</v>
      </c>
      <c r="AA5" s="21">
        <f>18+2*4+3*7</f>
        <v>47</v>
      </c>
      <c r="AB5" s="22">
        <f>64.8+28.8+70</f>
        <v>163.6</v>
      </c>
      <c r="AC5" s="21">
        <f>15+2*5+3*8</f>
        <v>49</v>
      </c>
      <c r="AD5" s="22">
        <f>54+36+80</f>
        <v>170</v>
      </c>
      <c r="AE5" s="21">
        <v>3</v>
      </c>
      <c r="AF5" s="22">
        <v>10.199999999999999</v>
      </c>
      <c r="AG5" s="21">
        <v>12</v>
      </c>
      <c r="AH5" s="22">
        <v>80.8</v>
      </c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2113.7199999999998</v>
      </c>
      <c r="AY5" s="22">
        <f t="shared" si="1"/>
        <v>2003.5260663507108</v>
      </c>
    </row>
    <row r="6" spans="1:51" x14ac:dyDescent="0.25">
      <c r="A6" s="19" t="s">
        <v>226</v>
      </c>
      <c r="B6" s="20" t="s">
        <v>26</v>
      </c>
      <c r="C6" s="21"/>
      <c r="D6" s="22"/>
      <c r="E6" s="21"/>
      <c r="F6" s="22"/>
      <c r="G6" s="21"/>
      <c r="H6" s="22"/>
      <c r="I6" s="21">
        <f>2+3*1</f>
        <v>5</v>
      </c>
      <c r="J6" s="22">
        <f>7+10</f>
        <v>17</v>
      </c>
      <c r="K6" s="72"/>
      <c r="L6" s="73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>
        <f>4</f>
        <v>4</v>
      </c>
      <c r="AD6" s="22">
        <v>42</v>
      </c>
      <c r="AE6" s="21"/>
      <c r="AF6" s="22"/>
      <c r="AG6" s="21"/>
      <c r="AH6" s="22"/>
      <c r="AI6" s="72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59</v>
      </c>
      <c r="AY6" s="22">
        <f t="shared" si="1"/>
        <v>55.924170616113749</v>
      </c>
    </row>
    <row r="7" spans="1:51" x14ac:dyDescent="0.25">
      <c r="A7" s="19" t="s">
        <v>28</v>
      </c>
      <c r="B7" s="20" t="s">
        <v>26</v>
      </c>
      <c r="C7" s="21"/>
      <c r="D7" s="22"/>
      <c r="E7" s="21">
        <v>2</v>
      </c>
      <c r="F7" s="22">
        <v>21</v>
      </c>
      <c r="G7" s="21">
        <v>13</v>
      </c>
      <c r="H7" s="22">
        <v>45.5</v>
      </c>
      <c r="I7" s="21">
        <v>2</v>
      </c>
      <c r="J7" s="22">
        <f>21+25</f>
        <v>46</v>
      </c>
      <c r="K7" s="72"/>
      <c r="L7" s="73"/>
      <c r="M7" s="21"/>
      <c r="N7" s="22"/>
      <c r="O7" s="21"/>
      <c r="P7" s="22"/>
      <c r="Q7" s="21">
        <v>3</v>
      </c>
      <c r="R7" s="22">
        <v>31.5</v>
      </c>
      <c r="S7" s="21">
        <v>3</v>
      </c>
      <c r="T7" s="22">
        <v>31.5</v>
      </c>
      <c r="U7" s="21">
        <v>17</v>
      </c>
      <c r="V7" s="22">
        <f>59.5+10</f>
        <v>69.5</v>
      </c>
      <c r="W7" s="21">
        <v>3</v>
      </c>
      <c r="X7" s="22">
        <v>31.5</v>
      </c>
      <c r="Y7" s="21"/>
      <c r="Z7" s="22">
        <f>70+6</f>
        <v>76</v>
      </c>
      <c r="AA7" s="21"/>
      <c r="AB7" s="22"/>
      <c r="AC7" s="21"/>
      <c r="AD7" s="22">
        <v>84</v>
      </c>
      <c r="AE7" s="21">
        <v>15</v>
      </c>
      <c r="AF7" s="22">
        <f>52.5+20.7</f>
        <v>73.2</v>
      </c>
      <c r="AG7" s="21">
        <v>14</v>
      </c>
      <c r="AH7" s="22">
        <f>49+14.3</f>
        <v>63.3</v>
      </c>
      <c r="AI7" s="24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573</v>
      </c>
      <c r="AY7" s="22">
        <f t="shared" si="1"/>
        <v>543.12796208530813</v>
      </c>
    </row>
    <row r="8" spans="1:51" x14ac:dyDescent="0.25">
      <c r="A8" s="19" t="s">
        <v>29</v>
      </c>
      <c r="B8" s="20" t="s">
        <v>26</v>
      </c>
      <c r="C8" s="21"/>
      <c r="D8" s="22"/>
      <c r="E8" s="21"/>
      <c r="F8" s="22">
        <v>4</v>
      </c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4</v>
      </c>
      <c r="AY8" s="22">
        <f t="shared" si="1"/>
        <v>3.7914691943127963</v>
      </c>
    </row>
    <row r="9" spans="1:51" x14ac:dyDescent="0.25">
      <c r="A9" s="19" t="s">
        <v>102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72">
        <v>1</v>
      </c>
      <c r="L9" s="73">
        <v>3.5</v>
      </c>
      <c r="M9" s="21"/>
      <c r="N9" s="22"/>
      <c r="O9" s="21"/>
      <c r="P9" s="22"/>
      <c r="Q9" s="21"/>
      <c r="R9" s="22"/>
      <c r="S9" s="21"/>
      <c r="T9" s="22"/>
      <c r="U9" s="21">
        <v>2</v>
      </c>
      <c r="V9" s="22">
        <v>7</v>
      </c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>
        <v>4</v>
      </c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14.5</v>
      </c>
      <c r="AY9" s="22">
        <f t="shared" si="1"/>
        <v>13.744075829383887</v>
      </c>
    </row>
    <row r="10" spans="1:51" x14ac:dyDescent="0.25">
      <c r="A10" s="19" t="s">
        <v>104</v>
      </c>
      <c r="B10" s="20" t="s">
        <v>26</v>
      </c>
      <c r="C10" s="21">
        <v>2</v>
      </c>
      <c r="D10" s="22">
        <v>6.4</v>
      </c>
      <c r="E10" s="21">
        <v>2</v>
      </c>
      <c r="F10" s="22">
        <v>5.8</v>
      </c>
      <c r="G10" s="21">
        <v>5</v>
      </c>
      <c r="H10" s="22">
        <v>16</v>
      </c>
      <c r="I10" s="21">
        <v>3</v>
      </c>
      <c r="J10" s="22">
        <v>8.6999999999999993</v>
      </c>
      <c r="K10" s="123">
        <v>1</v>
      </c>
      <c r="L10" s="73">
        <v>3.5</v>
      </c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40.4</v>
      </c>
      <c r="AY10" s="22">
        <f t="shared" si="1"/>
        <v>38.293838862559241</v>
      </c>
    </row>
    <row r="11" spans="1:51" x14ac:dyDescent="0.25">
      <c r="A11" s="19" t="s">
        <v>31</v>
      </c>
      <c r="B11" s="20" t="s">
        <v>26</v>
      </c>
      <c r="C11" s="21">
        <v>4</v>
      </c>
      <c r="D11" s="22">
        <v>14</v>
      </c>
      <c r="E11" s="21">
        <v>5</v>
      </c>
      <c r="F11" s="22">
        <v>17.5</v>
      </c>
      <c r="G11" s="21"/>
      <c r="H11" s="22"/>
      <c r="I11" s="21">
        <v>3</v>
      </c>
      <c r="J11" s="22">
        <v>10.5</v>
      </c>
      <c r="K11" s="72">
        <v>4</v>
      </c>
      <c r="L11" s="73">
        <v>14</v>
      </c>
      <c r="M11" s="21">
        <v>8</v>
      </c>
      <c r="N11" s="22">
        <f>28+6</f>
        <v>34</v>
      </c>
      <c r="O11" s="21"/>
      <c r="P11" s="22"/>
      <c r="Q11" s="21">
        <v>2</v>
      </c>
      <c r="R11" s="22">
        <v>7</v>
      </c>
      <c r="S11" s="21">
        <v>18</v>
      </c>
      <c r="T11" s="22">
        <v>63</v>
      </c>
      <c r="U11" s="21">
        <v>9</v>
      </c>
      <c r="V11" s="22">
        <v>31.5</v>
      </c>
      <c r="W11" s="21">
        <v>12</v>
      </c>
      <c r="X11" s="22">
        <v>42</v>
      </c>
      <c r="Y11" s="21">
        <v>10</v>
      </c>
      <c r="Z11" s="22">
        <f>35+6</f>
        <v>41</v>
      </c>
      <c r="AA11" s="21">
        <v>7</v>
      </c>
      <c r="AB11" s="22">
        <v>24.5</v>
      </c>
      <c r="AC11" s="21">
        <v>20</v>
      </c>
      <c r="AD11" s="22">
        <v>70</v>
      </c>
      <c r="AE11" s="21">
        <v>11</v>
      </c>
      <c r="AF11" s="22">
        <v>38.5</v>
      </c>
      <c r="AG11" s="21">
        <v>6</v>
      </c>
      <c r="AH11" s="22">
        <v>21</v>
      </c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428.5</v>
      </c>
      <c r="AY11" s="22">
        <f t="shared" si="1"/>
        <v>406.1611374407583</v>
      </c>
    </row>
    <row r="12" spans="1:51" x14ac:dyDescent="0.25">
      <c r="A12" s="19" t="s">
        <v>103</v>
      </c>
      <c r="B12" s="20" t="s">
        <v>26</v>
      </c>
      <c r="C12" s="21"/>
      <c r="D12" s="22"/>
      <c r="E12" s="21">
        <v>15.815</v>
      </c>
      <c r="F12" s="22">
        <v>23.2</v>
      </c>
      <c r="G12" s="21">
        <v>4</v>
      </c>
      <c r="H12" s="22">
        <v>12.8</v>
      </c>
      <c r="I12" s="21">
        <v>22</v>
      </c>
      <c r="J12" s="22">
        <v>60.94</v>
      </c>
      <c r="K12" s="72">
        <v>1</v>
      </c>
      <c r="L12" s="73">
        <v>3.2</v>
      </c>
      <c r="M12" s="21">
        <v>4</v>
      </c>
      <c r="N12" s="22">
        <v>11.6</v>
      </c>
      <c r="O12" s="21">
        <v>2</v>
      </c>
      <c r="P12" s="22">
        <v>6.4</v>
      </c>
      <c r="Q12" s="21">
        <v>12</v>
      </c>
      <c r="R12" s="22">
        <v>34.799999999999997</v>
      </c>
      <c r="S12" s="21">
        <v>5</v>
      </c>
      <c r="T12" s="22">
        <v>14.5</v>
      </c>
      <c r="U12" s="21">
        <v>6</v>
      </c>
      <c r="V12" s="22">
        <v>12.8</v>
      </c>
      <c r="W12" s="21">
        <v>3</v>
      </c>
      <c r="X12" s="22">
        <v>8.6999999999999993</v>
      </c>
      <c r="Y12" s="21">
        <v>1</v>
      </c>
      <c r="Z12" s="22">
        <v>3.2</v>
      </c>
      <c r="AA12" s="21">
        <v>6</v>
      </c>
      <c r="AB12" s="22">
        <v>17.399999999999999</v>
      </c>
      <c r="AC12" s="21"/>
      <c r="AD12" s="22"/>
      <c r="AE12" s="21">
        <v>1</v>
      </c>
      <c r="AF12" s="22">
        <v>4</v>
      </c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213.54</v>
      </c>
      <c r="AY12" s="22">
        <f t="shared" si="1"/>
        <v>202.40758293838863</v>
      </c>
    </row>
    <row r="13" spans="1:51" x14ac:dyDescent="0.25">
      <c r="A13" s="19" t="s">
        <v>32</v>
      </c>
      <c r="B13" s="20" t="s">
        <v>106</v>
      </c>
      <c r="C13" s="21"/>
      <c r="D13" s="22">
        <v>29.14</v>
      </c>
      <c r="E13" s="21"/>
      <c r="F13" s="22"/>
      <c r="G13" s="21"/>
      <c r="H13" s="22">
        <v>17.95</v>
      </c>
      <c r="I13" s="21"/>
      <c r="J13" s="22"/>
      <c r="K13" s="85"/>
      <c r="L13" s="73">
        <v>39</v>
      </c>
      <c r="M13" s="21"/>
      <c r="N13" s="22"/>
      <c r="O13" s="25"/>
      <c r="P13" s="22"/>
      <c r="Q13" s="21"/>
      <c r="R13" s="22"/>
      <c r="S13" s="99"/>
      <c r="T13" s="22"/>
      <c r="U13" s="99"/>
      <c r="V13" s="22"/>
      <c r="W13" s="99"/>
      <c r="X13" s="22"/>
      <c r="Y13" s="99"/>
      <c r="Z13" s="22"/>
      <c r="AA13" s="99"/>
      <c r="AB13" s="22"/>
      <c r="AC13" s="100"/>
      <c r="AD13" s="22"/>
      <c r="AE13" s="99"/>
      <c r="AF13" s="22"/>
      <c r="AG13" s="21"/>
      <c r="AH13" s="22"/>
      <c r="AI13" s="21"/>
      <c r="AJ13" s="22"/>
      <c r="AK13" s="21"/>
      <c r="AL13" s="22"/>
      <c r="AM13" s="21"/>
      <c r="AN13" s="22"/>
      <c r="AO13" s="21"/>
      <c r="AP13" s="22"/>
      <c r="AQ13" s="21"/>
      <c r="AR13" s="22"/>
      <c r="AS13" s="21"/>
      <c r="AT13" s="22"/>
      <c r="AU13" s="21"/>
      <c r="AV13" s="22"/>
      <c r="AW13"/>
      <c r="AX13" s="74">
        <f t="shared" si="0"/>
        <v>86.09</v>
      </c>
      <c r="AY13" s="22">
        <f t="shared" si="1"/>
        <v>81.601895734597164</v>
      </c>
    </row>
    <row r="14" spans="1:51" x14ac:dyDescent="0.25">
      <c r="A14" s="19" t="s">
        <v>107</v>
      </c>
      <c r="B14" s="20" t="s">
        <v>34</v>
      </c>
      <c r="C14" s="21"/>
      <c r="D14" s="22"/>
      <c r="E14" s="21"/>
      <c r="F14" s="22"/>
      <c r="G14" s="21"/>
      <c r="H14" s="22"/>
      <c r="I14" s="21"/>
      <c r="J14" s="22"/>
      <c r="K14" s="85"/>
      <c r="L14" s="73"/>
      <c r="M14" s="21"/>
      <c r="N14" s="22"/>
      <c r="O14" s="25"/>
      <c r="P14" s="22"/>
      <c r="Q14" s="25"/>
      <c r="R14" s="22"/>
      <c r="S14" s="25"/>
      <c r="T14" s="22"/>
      <c r="U14" s="99"/>
      <c r="V14" s="22"/>
      <c r="W14" s="99"/>
      <c r="X14" s="22"/>
      <c r="Y14" s="99"/>
      <c r="Z14" s="22"/>
      <c r="AA14" s="99"/>
      <c r="AB14" s="22"/>
      <c r="AC14" s="100"/>
      <c r="AD14" s="22"/>
      <c r="AE14" s="99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108</v>
      </c>
      <c r="B15" s="20" t="s">
        <v>109</v>
      </c>
      <c r="C15" s="21"/>
      <c r="D15" s="22"/>
      <c r="E15" s="21">
        <v>14.11</v>
      </c>
      <c r="F15" s="22">
        <v>98.83</v>
      </c>
      <c r="G15" s="21"/>
      <c r="H15" s="22"/>
      <c r="I15" s="25">
        <v>8.9499999999999993</v>
      </c>
      <c r="J15" s="22">
        <v>62.67</v>
      </c>
      <c r="K15" s="85"/>
      <c r="L15" s="73"/>
      <c r="M15" s="21"/>
      <c r="N15" s="22"/>
      <c r="O15" s="21"/>
      <c r="P15" s="22"/>
      <c r="Q15" s="25"/>
      <c r="R15" s="22"/>
      <c r="S15" s="25"/>
      <c r="T15" s="22"/>
      <c r="U15" s="25"/>
      <c r="V15" s="22"/>
      <c r="W15" s="21"/>
      <c r="X15" s="22"/>
      <c r="Y15" s="21"/>
      <c r="Z15" s="22"/>
      <c r="AA15" s="25"/>
      <c r="AB15" s="22"/>
      <c r="AC15" s="21"/>
      <c r="AD15" s="22"/>
      <c r="AE15" s="21"/>
      <c r="AF15" s="22"/>
      <c r="AG15" s="25"/>
      <c r="AH15" s="22"/>
      <c r="AI15" s="21"/>
      <c r="AJ15" s="22"/>
      <c r="AK15" s="25"/>
      <c r="AL15" s="22"/>
      <c r="AM15" s="21"/>
      <c r="AN15" s="22"/>
      <c r="AO15" s="25"/>
      <c r="AP15" s="22"/>
      <c r="AQ15" s="21"/>
      <c r="AR15" s="22"/>
      <c r="AS15" s="21"/>
      <c r="AT15" s="22"/>
      <c r="AU15" s="25"/>
      <c r="AV15" s="22"/>
      <c r="AW15"/>
      <c r="AX15" s="74">
        <f t="shared" si="0"/>
        <v>161.5</v>
      </c>
      <c r="AY15" s="22">
        <f t="shared" si="1"/>
        <v>153.08056872037915</v>
      </c>
    </row>
    <row r="16" spans="1:51" x14ac:dyDescent="0.25">
      <c r="A16" s="19" t="s">
        <v>33</v>
      </c>
      <c r="B16" s="20" t="s">
        <v>34</v>
      </c>
      <c r="C16" s="25"/>
      <c r="D16" s="22"/>
      <c r="E16" s="25">
        <v>0.42</v>
      </c>
      <c r="F16" s="22">
        <v>3.15</v>
      </c>
      <c r="G16" s="25"/>
      <c r="H16" s="22"/>
      <c r="I16" s="25">
        <f>1.47</f>
        <v>1.47</v>
      </c>
      <c r="J16" s="22">
        <v>11.11</v>
      </c>
      <c r="K16" s="85"/>
      <c r="L16" s="73"/>
      <c r="M16" s="25">
        <v>1.1100000000000001</v>
      </c>
      <c r="N16" s="22">
        <v>8.33</v>
      </c>
      <c r="O16" s="25"/>
      <c r="P16" s="22"/>
      <c r="Q16" s="25">
        <v>0.13</v>
      </c>
      <c r="R16" s="22">
        <v>0.98</v>
      </c>
      <c r="S16" s="25">
        <v>0.68</v>
      </c>
      <c r="T16" s="22">
        <v>5.1100000000000003</v>
      </c>
      <c r="U16" s="25"/>
      <c r="V16" s="22"/>
      <c r="W16" s="25">
        <v>0.32500000000000001</v>
      </c>
      <c r="X16" s="22">
        <v>2.44</v>
      </c>
      <c r="Y16" s="25"/>
      <c r="Z16" s="22"/>
      <c r="AA16" s="25">
        <v>2.1</v>
      </c>
      <c r="AB16" s="22">
        <v>15.75</v>
      </c>
      <c r="AC16" s="25">
        <v>1.2849999999999999</v>
      </c>
      <c r="AD16" s="22">
        <v>9.6300000000000008</v>
      </c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56.5</v>
      </c>
      <c r="AY16" s="22">
        <f t="shared" si="1"/>
        <v>53.554502369668249</v>
      </c>
    </row>
    <row r="17" spans="1:51" x14ac:dyDescent="0.25">
      <c r="A17" s="19" t="s">
        <v>35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36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0</v>
      </c>
      <c r="AY18" s="22">
        <f t="shared" si="1"/>
        <v>0</v>
      </c>
    </row>
    <row r="19" spans="1:51" x14ac:dyDescent="0.25">
      <c r="A19" s="19" t="s">
        <v>37</v>
      </c>
      <c r="B19" s="20" t="s">
        <v>34</v>
      </c>
      <c r="C19" s="25"/>
      <c r="D19" s="22">
        <v>13.95</v>
      </c>
      <c r="E19" s="25">
        <v>3.3</v>
      </c>
      <c r="F19" s="22">
        <v>14.86</v>
      </c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28.81</v>
      </c>
      <c r="AY19" s="22">
        <f t="shared" si="1"/>
        <v>27.308056872037916</v>
      </c>
    </row>
    <row r="20" spans="1:51" x14ac:dyDescent="0.25">
      <c r="A20" s="19" t="s">
        <v>38</v>
      </c>
      <c r="B20" s="20" t="s">
        <v>34</v>
      </c>
      <c r="C20" s="25"/>
      <c r="D20" s="22"/>
      <c r="E20" s="25">
        <v>4.3</v>
      </c>
      <c r="F20" s="22">
        <v>16.78</v>
      </c>
      <c r="G20" s="25"/>
      <c r="H20" s="22">
        <v>42.81</v>
      </c>
      <c r="I20" s="25">
        <f>25.525</f>
        <v>25.524999999999999</v>
      </c>
      <c r="J20" s="22">
        <v>99.54</v>
      </c>
      <c r="K20" s="85"/>
      <c r="L20" s="73">
        <f>26.95+10</f>
        <v>36.950000000000003</v>
      </c>
      <c r="M20" s="25">
        <f>16.3</f>
        <v>16.3</v>
      </c>
      <c r="N20" s="22">
        <v>63.58</v>
      </c>
      <c r="O20" s="25"/>
      <c r="P20" s="22">
        <v>34.340000000000003</v>
      </c>
      <c r="Q20" s="25">
        <v>16.29</v>
      </c>
      <c r="R20" s="22">
        <v>63.57</v>
      </c>
      <c r="S20" s="25">
        <v>16.135000000000002</v>
      </c>
      <c r="T20" s="22">
        <v>62.96</v>
      </c>
      <c r="U20" s="25"/>
      <c r="V20" s="22">
        <v>11.34</v>
      </c>
      <c r="W20" s="25">
        <v>20.03</v>
      </c>
      <c r="X20" s="22">
        <v>78.13</v>
      </c>
      <c r="Y20" s="25"/>
      <c r="Z20" s="22">
        <v>33.659999999999997</v>
      </c>
      <c r="AA20" s="25">
        <v>19.809999999999999</v>
      </c>
      <c r="AB20" s="22">
        <v>77.31</v>
      </c>
      <c r="AC20" s="25">
        <v>18.004999999999999</v>
      </c>
      <c r="AD20" s="22">
        <v>70.23</v>
      </c>
      <c r="AE20" s="25"/>
      <c r="AF20" s="22">
        <v>19.27</v>
      </c>
      <c r="AG20" s="25"/>
      <c r="AH20" s="22">
        <v>25.76</v>
      </c>
      <c r="AI20" s="25"/>
      <c r="AJ20" s="22"/>
      <c r="AK20" s="25"/>
      <c r="AL20" s="22"/>
      <c r="AM20" s="25"/>
      <c r="AN20" s="22"/>
      <c r="AO20" s="25"/>
      <c r="AP20" s="22"/>
      <c r="AQ20" s="25"/>
      <c r="AR20" s="22"/>
      <c r="AS20" s="25"/>
      <c r="AT20" s="22"/>
      <c r="AU20" s="25"/>
      <c r="AV20" s="22"/>
      <c r="AW20"/>
      <c r="AX20" s="74">
        <f t="shared" si="0"/>
        <v>736.23</v>
      </c>
      <c r="AY20" s="22">
        <f t="shared" si="1"/>
        <v>697.84834123222754</v>
      </c>
    </row>
    <row r="21" spans="1:51" x14ac:dyDescent="0.25">
      <c r="A21" s="19" t="s">
        <v>39</v>
      </c>
      <c r="B21" s="20" t="s">
        <v>34</v>
      </c>
      <c r="C21"/>
      <c r="D21" s="22">
        <v>77.400000000000006</v>
      </c>
      <c r="E21">
        <v>14.02</v>
      </c>
      <c r="F21" s="22">
        <v>81.34</v>
      </c>
      <c r="G21"/>
      <c r="H21" s="22">
        <v>50.67</v>
      </c>
      <c r="I21">
        <v>25.745000000000001</v>
      </c>
      <c r="J21" s="22">
        <f>149.34+20</f>
        <v>169.34</v>
      </c>
      <c r="K21" s="85"/>
      <c r="L21" s="22">
        <f>81.02+10</f>
        <v>91.02</v>
      </c>
      <c r="M21">
        <v>13.68</v>
      </c>
      <c r="N21" s="22">
        <v>79.33</v>
      </c>
      <c r="O21"/>
      <c r="P21" s="22">
        <v>25.79</v>
      </c>
      <c r="Q21">
        <v>7.86</v>
      </c>
      <c r="R21" s="22">
        <v>45.6</v>
      </c>
      <c r="S21">
        <v>22.835000000000001</v>
      </c>
      <c r="T21" s="22">
        <v>132.46</v>
      </c>
      <c r="U21"/>
      <c r="V21" s="22">
        <v>117.39</v>
      </c>
      <c r="W21">
        <v>37.664999999999999</v>
      </c>
      <c r="X21" s="22">
        <v>218.49</v>
      </c>
      <c r="Y21"/>
      <c r="Z21" s="22">
        <v>92.82</v>
      </c>
      <c r="AA21">
        <v>24.6</v>
      </c>
      <c r="AB21" s="22">
        <v>142.68</v>
      </c>
      <c r="AC21">
        <v>30.06</v>
      </c>
      <c r="AD21" s="22">
        <v>174.33</v>
      </c>
      <c r="AE21"/>
      <c r="AF21" s="22">
        <v>115.46</v>
      </c>
      <c r="AG21"/>
      <c r="AH21" s="22">
        <v>57.53</v>
      </c>
      <c r="AI21"/>
      <c r="AJ21" s="22"/>
      <c r="AK21"/>
      <c r="AL21" s="22"/>
      <c r="AM21"/>
      <c r="AN21" s="22"/>
      <c r="AO21"/>
      <c r="AP21" s="22"/>
      <c r="AQ21"/>
      <c r="AR21" s="22"/>
      <c r="AS21"/>
      <c r="AT21" s="22"/>
      <c r="AU21"/>
      <c r="AV21" s="22"/>
      <c r="AW21"/>
      <c r="AX21" s="74">
        <f t="shared" si="0"/>
        <v>1671.6499999999999</v>
      </c>
      <c r="AY21" s="22">
        <f t="shared" si="1"/>
        <v>1584.5023696682465</v>
      </c>
    </row>
    <row r="22" spans="1:51" x14ac:dyDescent="0.25">
      <c r="A22" s="19" t="s">
        <v>40</v>
      </c>
      <c r="B22" s="20" t="s">
        <v>34</v>
      </c>
      <c r="C22" s="25"/>
      <c r="D22" s="22">
        <v>29.47</v>
      </c>
      <c r="E22" s="25"/>
      <c r="F22" s="22">
        <v>78.33</v>
      </c>
      <c r="G22" s="25"/>
      <c r="H22" s="22">
        <v>43.63</v>
      </c>
      <c r="I22" s="25">
        <f>10.73+4</f>
        <v>14.73</v>
      </c>
      <c r="J22" s="22">
        <f>53.11</f>
        <v>53.11</v>
      </c>
      <c r="K22" s="85"/>
      <c r="L22" s="73">
        <f>36.14+9</f>
        <v>45.14</v>
      </c>
      <c r="M22" s="25">
        <f>13.135+4.03</f>
        <v>17.164999999999999</v>
      </c>
      <c r="N22" s="22">
        <f>65.02+18.14</f>
        <v>83.16</v>
      </c>
      <c r="O22" s="25"/>
      <c r="P22" s="22">
        <v>51.81</v>
      </c>
      <c r="Q22" s="25">
        <v>20.6</v>
      </c>
      <c r="R22" s="22">
        <v>92.75</v>
      </c>
      <c r="S22" s="25">
        <v>13.15</v>
      </c>
      <c r="T22" s="22">
        <v>59.19</v>
      </c>
      <c r="U22" s="25"/>
      <c r="V22" s="22">
        <v>42.13</v>
      </c>
      <c r="W22" s="25">
        <v>20.07</v>
      </c>
      <c r="X22" s="22">
        <v>90.32</v>
      </c>
      <c r="Y22" s="25"/>
      <c r="Z22" s="22">
        <v>55.96</v>
      </c>
      <c r="AA22" s="25">
        <v>10.975</v>
      </c>
      <c r="AB22" s="22">
        <v>49.44</v>
      </c>
      <c r="AC22" s="25">
        <v>7.4450000000000003</v>
      </c>
      <c r="AD22" s="22">
        <v>33.54</v>
      </c>
      <c r="AE22" s="25"/>
      <c r="AF22" s="22">
        <v>27.08</v>
      </c>
      <c r="AG22" s="25"/>
      <c r="AH22" s="22">
        <v>11.12</v>
      </c>
      <c r="AI22" s="25"/>
      <c r="AJ22" s="22"/>
      <c r="AK22" s="25"/>
      <c r="AL22" s="22"/>
      <c r="AM22" s="25"/>
      <c r="AN22" s="22"/>
      <c r="AO22" s="25"/>
      <c r="AP22" s="22"/>
      <c r="AQ22" s="25"/>
      <c r="AR22" s="22"/>
      <c r="AS22" s="25"/>
      <c r="AT22" s="22"/>
      <c r="AU22" s="25"/>
      <c r="AV22" s="22"/>
      <c r="AW22"/>
      <c r="AX22" s="74">
        <f t="shared" si="0"/>
        <v>846.18</v>
      </c>
      <c r="AY22" s="22">
        <f t="shared" si="1"/>
        <v>802.06635071090045</v>
      </c>
    </row>
    <row r="23" spans="1:51" x14ac:dyDescent="0.25">
      <c r="A23" s="19" t="s">
        <v>30</v>
      </c>
      <c r="B23" s="20" t="s">
        <v>26</v>
      </c>
      <c r="C23" s="21">
        <v>1</v>
      </c>
      <c r="D23" s="22">
        <v>2.9</v>
      </c>
      <c r="E23" s="21">
        <v>11</v>
      </c>
      <c r="F23" s="22">
        <v>31.9</v>
      </c>
      <c r="G23" s="21">
        <v>5</v>
      </c>
      <c r="H23" s="22">
        <v>14.5</v>
      </c>
      <c r="I23" s="21">
        <v>18</v>
      </c>
      <c r="J23" s="22">
        <f>52.2+1</f>
        <v>53.2</v>
      </c>
      <c r="K23" s="72">
        <v>3</v>
      </c>
      <c r="L23" s="73">
        <v>8.6999999999999993</v>
      </c>
      <c r="M23" s="21">
        <v>9</v>
      </c>
      <c r="N23" s="22">
        <v>26.1</v>
      </c>
      <c r="O23" s="21">
        <v>7</v>
      </c>
      <c r="P23" s="22">
        <v>20.3</v>
      </c>
      <c r="Q23" s="21">
        <v>7</v>
      </c>
      <c r="R23" s="22">
        <v>20.3</v>
      </c>
      <c r="S23" s="21">
        <v>4</v>
      </c>
      <c r="T23" s="22">
        <v>11.6</v>
      </c>
      <c r="U23" s="21">
        <v>8</v>
      </c>
      <c r="V23" s="22">
        <v>23.2</v>
      </c>
      <c r="W23" s="21">
        <v>17</v>
      </c>
      <c r="X23" s="22">
        <f>49.3+29</f>
        <v>78.3</v>
      </c>
      <c r="Y23" s="21">
        <v>3</v>
      </c>
      <c r="Z23" s="22">
        <v>8.6999999999999993</v>
      </c>
      <c r="AA23" s="21">
        <v>3</v>
      </c>
      <c r="AB23" s="22">
        <v>8.6999999999999993</v>
      </c>
      <c r="AC23" s="21">
        <v>15</v>
      </c>
      <c r="AD23" s="22">
        <v>43.5</v>
      </c>
      <c r="AE23" s="21">
        <v>9</v>
      </c>
      <c r="AF23" s="22">
        <v>26.1</v>
      </c>
      <c r="AG23" s="21">
        <v>5</v>
      </c>
      <c r="AH23" s="22">
        <v>14.5</v>
      </c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392.49999999999994</v>
      </c>
      <c r="AY23" s="22">
        <f t="shared" si="1"/>
        <v>372.03791469194312</v>
      </c>
    </row>
    <row r="24" spans="1:51" x14ac:dyDescent="0.25">
      <c r="A24" s="19" t="s">
        <v>105</v>
      </c>
      <c r="B24" s="20" t="s">
        <v>26</v>
      </c>
      <c r="C24" s="21"/>
      <c r="D24" s="22"/>
      <c r="E24" s="21"/>
      <c r="F24" s="22"/>
      <c r="G24" s="21"/>
      <c r="H24" s="22"/>
      <c r="I24" s="21"/>
      <c r="J24" s="22"/>
      <c r="K24" s="85"/>
      <c r="L24" s="73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2"/>
      <c r="AO24" s="21"/>
      <c r="AP24" s="22"/>
      <c r="AQ24" s="21"/>
      <c r="AR24" s="22"/>
      <c r="AS24" s="21"/>
      <c r="AT24" s="22"/>
      <c r="AU24" s="21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41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>
        <v>9.25</v>
      </c>
      <c r="AA25" s="25">
        <v>7.5549999999999997</v>
      </c>
      <c r="AB25" s="22">
        <v>44.57</v>
      </c>
      <c r="AC25" s="25">
        <v>9.5350000000000001</v>
      </c>
      <c r="AD25" s="22">
        <v>56.29</v>
      </c>
      <c r="AE25" s="25"/>
      <c r="AF25" s="22">
        <v>12.93</v>
      </c>
      <c r="AG25" s="25"/>
      <c r="AH25" s="22">
        <v>14.98</v>
      </c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138.02000000000001</v>
      </c>
      <c r="AY25" s="22">
        <f t="shared" si="1"/>
        <v>130.82464454976306</v>
      </c>
    </row>
    <row r="26" spans="1:51" x14ac:dyDescent="0.25">
      <c r="A26" s="19" t="s">
        <v>42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85"/>
      <c r="L26" s="73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>
        <v>4.6399999999999997</v>
      </c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4.6399999999999997</v>
      </c>
      <c r="AY26" s="22">
        <f t="shared" si="1"/>
        <v>4.3981042654028437</v>
      </c>
    </row>
    <row r="27" spans="1:51" x14ac:dyDescent="0.25">
      <c r="A27" s="19" t="s">
        <v>43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44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179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180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85"/>
      <c r="L30" s="73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0</v>
      </c>
      <c r="AY30" s="22">
        <f t="shared" si="1"/>
        <v>0</v>
      </c>
    </row>
    <row r="31" spans="1:51" x14ac:dyDescent="0.25">
      <c r="A31" s="19" t="s">
        <v>191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1" x14ac:dyDescent="0.25">
      <c r="A32" s="19" t="s">
        <v>201</v>
      </c>
      <c r="B32" s="20" t="s">
        <v>26</v>
      </c>
      <c r="C32" s="25"/>
      <c r="D32" s="22"/>
      <c r="E32" s="25"/>
      <c r="F32" s="22"/>
      <c r="G32" s="21"/>
      <c r="H32" s="22"/>
      <c r="I32" s="25"/>
      <c r="J32" s="22"/>
      <c r="K32" s="85"/>
      <c r="L32" s="73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0</v>
      </c>
      <c r="AY32" s="22">
        <f t="shared" si="1"/>
        <v>0</v>
      </c>
    </row>
    <row r="33" spans="1:52" x14ac:dyDescent="0.25">
      <c r="A33" s="19" t="s">
        <v>264</v>
      </c>
      <c r="B33" s="20"/>
      <c r="C33" s="25"/>
      <c r="D33" s="22"/>
      <c r="E33" s="25"/>
      <c r="F33" s="22"/>
      <c r="G33" s="21"/>
      <c r="H33" s="22"/>
      <c r="I33" s="25"/>
      <c r="J33" s="22"/>
      <c r="K33" s="85"/>
      <c r="L33" s="73"/>
      <c r="M33" s="25"/>
      <c r="N33" s="22"/>
      <c r="O33" s="25"/>
      <c r="P33" s="22"/>
      <c r="Q33" s="25"/>
      <c r="R33" s="22"/>
      <c r="S33" s="25"/>
      <c r="T33" s="22"/>
      <c r="U33" s="25"/>
      <c r="V33" s="22"/>
      <c r="W33" s="25"/>
      <c r="X33" s="22"/>
      <c r="Y33" s="25"/>
      <c r="Z33" s="22"/>
      <c r="AA33" s="25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U33" s="25"/>
      <c r="AV33" s="22"/>
      <c r="AW33"/>
      <c r="AX33" s="74">
        <f t="shared" si="0"/>
        <v>0</v>
      </c>
      <c r="AY33" s="22">
        <f t="shared" si="1"/>
        <v>0</v>
      </c>
    </row>
    <row r="34" spans="1:52" x14ac:dyDescent="0.25">
      <c r="A34" s="19" t="s">
        <v>202</v>
      </c>
      <c r="B34" s="20" t="s">
        <v>34</v>
      </c>
      <c r="C34" s="25"/>
      <c r="D34" s="22">
        <v>8.6</v>
      </c>
      <c r="E34" s="25"/>
      <c r="F34" s="22">
        <v>25.32</v>
      </c>
      <c r="G34" s="25"/>
      <c r="H34" s="22"/>
      <c r="I34" s="25"/>
      <c r="J34" s="22"/>
      <c r="K34" s="85"/>
      <c r="L34" s="73"/>
      <c r="M34" s="25"/>
      <c r="N34" s="22"/>
      <c r="O34" s="25"/>
      <c r="P34" s="22"/>
      <c r="Q34" s="25"/>
      <c r="R34" s="22">
        <f>28.05+64</f>
        <v>92.05</v>
      </c>
      <c r="S34" s="25"/>
      <c r="T34" s="22">
        <v>61.03</v>
      </c>
      <c r="U34" s="25"/>
      <c r="V34" s="22"/>
      <c r="W34" s="25">
        <f>1.065+0.365</f>
        <v>1.43</v>
      </c>
      <c r="X34" s="22">
        <f>3.9+2.19</f>
        <v>6.09</v>
      </c>
      <c r="Y34" s="25"/>
      <c r="Z34" s="22">
        <v>8.74</v>
      </c>
      <c r="AA34" s="25"/>
      <c r="AB34" s="22"/>
      <c r="AC34" s="25"/>
      <c r="AD34" s="22"/>
      <c r="AE34" s="25"/>
      <c r="AF34" s="22">
        <v>1.61</v>
      </c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ref="AX34:AX69" si="2">SUM(AV34,AT34,AR34,AP34,AN34,AL34,AJ34,AH34,AF34,AD34,AB34,Z34,X34,V34,T34,R34,P34,N34,L34,J34,H34,F34,D34)</f>
        <v>203.43999999999997</v>
      </c>
      <c r="AY34" s="22">
        <f t="shared" ref="AY34:AY69" si="3">AX34/1.055</f>
        <v>192.83412322274879</v>
      </c>
      <c r="AZ34" s="2">
        <f>SUM(AX4:AX34)</f>
        <v>10770.52</v>
      </c>
    </row>
    <row r="35" spans="1:52" s="18" customFormat="1" x14ac:dyDescent="0.25">
      <c r="A35" s="12" t="s">
        <v>46</v>
      </c>
      <c r="B35" s="13"/>
      <c r="C35" s="14"/>
      <c r="D35" s="15">
        <f>SUM(D36:D54)</f>
        <v>13.22</v>
      </c>
      <c r="E35" s="14"/>
      <c r="F35" s="15">
        <f>SUM(F36:F54)</f>
        <v>0</v>
      </c>
      <c r="G35" s="14"/>
      <c r="H35" s="15">
        <f>SUM(H36:H54)</f>
        <v>6.27</v>
      </c>
      <c r="I35" s="14"/>
      <c r="J35" s="15">
        <f>SUM(J36:J54)</f>
        <v>0</v>
      </c>
      <c r="K35" s="70"/>
      <c r="L35" s="70">
        <f>SUM(L36:L54)</f>
        <v>4.71</v>
      </c>
      <c r="M35" s="14"/>
      <c r="N35" s="15">
        <f>SUM(N36:N54)</f>
        <v>0</v>
      </c>
      <c r="O35" s="14"/>
      <c r="P35" s="15">
        <f>SUM(P36:P54)</f>
        <v>5.67</v>
      </c>
      <c r="Q35" s="14"/>
      <c r="R35" s="15">
        <f>SUM(R36:R54)</f>
        <v>0</v>
      </c>
      <c r="S35" s="14"/>
      <c r="T35" s="15">
        <f>SUM(T36:T54)</f>
        <v>0</v>
      </c>
      <c r="U35" s="14"/>
      <c r="V35" s="15">
        <f>SUM(V36:V54)</f>
        <v>5.63</v>
      </c>
      <c r="W35" s="14"/>
      <c r="X35" s="15">
        <f>SUM(X36:X54)</f>
        <v>0</v>
      </c>
      <c r="Y35" s="14"/>
      <c r="Z35" s="15">
        <f>SUM(Z36:Z54)</f>
        <v>4.47</v>
      </c>
      <c r="AA35" s="14"/>
      <c r="AB35" s="15">
        <f>SUM(AB36:AB54)</f>
        <v>0</v>
      </c>
      <c r="AC35" s="14"/>
      <c r="AD35" s="15">
        <f>SUM(AD36:AD54)</f>
        <v>0</v>
      </c>
      <c r="AE35" s="14"/>
      <c r="AF35" s="15">
        <f>SUM(AF36:AF54)</f>
        <v>11.35</v>
      </c>
      <c r="AG35" s="14"/>
      <c r="AH35" s="15">
        <f>SUM(AH36:AH54)</f>
        <v>2.2999999999999998</v>
      </c>
      <c r="AI35" s="14"/>
      <c r="AJ35" s="15">
        <f>SUM(AJ36:AJ54)</f>
        <v>0</v>
      </c>
      <c r="AK35" s="14"/>
      <c r="AL35" s="15">
        <f>SUM(AL36:AL54)</f>
        <v>0</v>
      </c>
      <c r="AM35" s="14"/>
      <c r="AN35" s="15">
        <f>SUM(AN36:AN54)</f>
        <v>0</v>
      </c>
      <c r="AO35" s="14"/>
      <c r="AP35" s="15">
        <f>SUM(AP36:AP54)</f>
        <v>0</v>
      </c>
      <c r="AQ35" s="14"/>
      <c r="AR35" s="15">
        <f>SUM(AR36:AR54)</f>
        <v>0</v>
      </c>
      <c r="AS35" s="14"/>
      <c r="AT35" s="15">
        <f>SUM(AT36:AT54)</f>
        <v>0</v>
      </c>
      <c r="AU35" s="14"/>
      <c r="AV35" s="15">
        <f>SUM(AV36:AV54)</f>
        <v>0</v>
      </c>
      <c r="AX35" s="71">
        <f t="shared" si="2"/>
        <v>53.61999999999999</v>
      </c>
      <c r="AY35" s="15">
        <f t="shared" si="3"/>
        <v>50.824644549763029</v>
      </c>
    </row>
    <row r="36" spans="1:52" x14ac:dyDescent="0.25">
      <c r="A36" s="19" t="s">
        <v>47</v>
      </c>
      <c r="B36" s="20" t="s">
        <v>34</v>
      </c>
      <c r="C36" s="25"/>
      <c r="D36" s="22"/>
      <c r="E36" s="25"/>
      <c r="F36" s="22"/>
      <c r="G36" s="25"/>
      <c r="H36" s="22"/>
      <c r="I36" s="25"/>
      <c r="J36" s="22"/>
      <c r="K36" s="25"/>
      <c r="L36" s="73"/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0</v>
      </c>
      <c r="AY36" s="22">
        <f t="shared" si="3"/>
        <v>0</v>
      </c>
    </row>
    <row r="37" spans="1:52" x14ac:dyDescent="0.25">
      <c r="A37" s="19" t="s">
        <v>48</v>
      </c>
      <c r="B37" s="20" t="s">
        <v>34</v>
      </c>
      <c r="C37" s="25"/>
      <c r="D37" s="22">
        <v>13.22</v>
      </c>
      <c r="E37" s="25"/>
      <c r="F37" s="22"/>
      <c r="G37" s="25"/>
      <c r="H37" s="22">
        <v>2.2999999999999998</v>
      </c>
      <c r="I37" s="25"/>
      <c r="J37" s="22"/>
      <c r="K37" s="25"/>
      <c r="L37" s="73">
        <v>4.71</v>
      </c>
      <c r="M37" s="25"/>
      <c r="N37" s="22"/>
      <c r="O37" s="25"/>
      <c r="P37" s="22">
        <v>4</v>
      </c>
      <c r="Q37" s="25"/>
      <c r="R37" s="22"/>
      <c r="S37" s="21"/>
      <c r="T37" s="22"/>
      <c r="U37" s="25"/>
      <c r="V37" s="22">
        <v>4.05</v>
      </c>
      <c r="W37" s="25"/>
      <c r="X37" s="22"/>
      <c r="Y37" s="25"/>
      <c r="Z37" s="22">
        <v>4.29</v>
      </c>
      <c r="AA37" s="21"/>
      <c r="AB37" s="22"/>
      <c r="AC37" s="25"/>
      <c r="AD37" s="22"/>
      <c r="AE37" s="25"/>
      <c r="AF37" s="22"/>
      <c r="AG37" s="25"/>
      <c r="AH37" s="22">
        <v>2.2999999999999998</v>
      </c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34.870000000000005</v>
      </c>
      <c r="AY37" s="22">
        <f t="shared" si="3"/>
        <v>33.052132701421804</v>
      </c>
    </row>
    <row r="38" spans="1:52" x14ac:dyDescent="0.25">
      <c r="A38" s="19" t="s">
        <v>49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2" x14ac:dyDescent="0.25">
      <c r="A39" s="19" t="s">
        <v>50</v>
      </c>
      <c r="B39" s="20" t="s">
        <v>34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>
        <v>10.29</v>
      </c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10.29</v>
      </c>
      <c r="AY39" s="22">
        <f t="shared" si="3"/>
        <v>9.7535545023696688</v>
      </c>
    </row>
    <row r="40" spans="1:52" x14ac:dyDescent="0.25">
      <c r="A40" s="19" t="s">
        <v>51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0</v>
      </c>
      <c r="AY40" s="22">
        <f t="shared" si="3"/>
        <v>0</v>
      </c>
    </row>
    <row r="41" spans="1:52" x14ac:dyDescent="0.25">
      <c r="A41" s="19" t="s">
        <v>208</v>
      </c>
      <c r="B41" s="20" t="s">
        <v>34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2" x14ac:dyDescent="0.25">
      <c r="A42" s="19" t="s">
        <v>133</v>
      </c>
      <c r="B42" s="20" t="s">
        <v>53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2" x14ac:dyDescent="0.25">
      <c r="A43" s="19" t="s">
        <v>54</v>
      </c>
      <c r="B43" s="20" t="s">
        <v>55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2" x14ac:dyDescent="0.25">
      <c r="A44" s="19" t="s">
        <v>56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2" x14ac:dyDescent="0.25">
      <c r="A45" s="19" t="s">
        <v>57</v>
      </c>
      <c r="B45" s="20" t="s">
        <v>53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2" x14ac:dyDescent="0.25">
      <c r="A46" s="19" t="s">
        <v>58</v>
      </c>
      <c r="B46" s="20" t="s">
        <v>34</v>
      </c>
      <c r="C46" s="25"/>
      <c r="D46" s="22"/>
      <c r="E46" s="25"/>
      <c r="F46" s="22"/>
      <c r="G46" s="25"/>
      <c r="H46" s="22">
        <v>3.97</v>
      </c>
      <c r="I46" s="25"/>
      <c r="J46" s="22"/>
      <c r="K46" s="25"/>
      <c r="L46" s="73"/>
      <c r="M46" s="25"/>
      <c r="N46" s="22"/>
      <c r="O46" s="25"/>
      <c r="P46" s="22">
        <v>1.67</v>
      </c>
      <c r="Q46" s="25"/>
      <c r="R46" s="22"/>
      <c r="S46" s="21"/>
      <c r="T46" s="22"/>
      <c r="U46" s="25"/>
      <c r="V46" s="22">
        <v>1.58</v>
      </c>
      <c r="W46" s="25"/>
      <c r="X46" s="22"/>
      <c r="Y46" s="25"/>
      <c r="Z46" s="22">
        <v>0.18</v>
      </c>
      <c r="AA46" s="21"/>
      <c r="AB46" s="22"/>
      <c r="AC46" s="25"/>
      <c r="AD46" s="22"/>
      <c r="AE46" s="25"/>
      <c r="AF46" s="22">
        <v>1.06</v>
      </c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8.4600000000000009</v>
      </c>
      <c r="AY46" s="22">
        <f t="shared" si="3"/>
        <v>8.0189573459715646</v>
      </c>
    </row>
    <row r="47" spans="1:52" x14ac:dyDescent="0.25">
      <c r="A47" s="19" t="s">
        <v>110</v>
      </c>
      <c r="B47" s="20" t="s">
        <v>34</v>
      </c>
      <c r="C47" s="25"/>
      <c r="D47" s="22"/>
      <c r="E47" s="25"/>
      <c r="F47" s="22"/>
      <c r="G47" s="25"/>
      <c r="H47" s="22"/>
      <c r="I47" s="25"/>
      <c r="J47" s="22"/>
      <c r="K47" s="25"/>
      <c r="L47" s="73"/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0</v>
      </c>
      <c r="AY47" s="22">
        <f t="shared" si="3"/>
        <v>0</v>
      </c>
    </row>
    <row r="48" spans="1:52" x14ac:dyDescent="0.25">
      <c r="A48" s="19" t="s">
        <v>111</v>
      </c>
      <c r="B48" s="20" t="s">
        <v>34</v>
      </c>
      <c r="C48" s="25"/>
      <c r="D48" s="22"/>
      <c r="E48" s="25"/>
      <c r="F48" s="22"/>
      <c r="G48" s="25"/>
      <c r="H48" s="22"/>
      <c r="I48" s="25"/>
      <c r="J48" s="22"/>
      <c r="K48" s="25"/>
      <c r="L48" s="73"/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0</v>
      </c>
      <c r="AY48" s="22">
        <f t="shared" si="3"/>
        <v>0</v>
      </c>
    </row>
    <row r="49" spans="1:51" x14ac:dyDescent="0.25">
      <c r="A49" s="19" t="s">
        <v>112</v>
      </c>
      <c r="B49" s="20" t="s">
        <v>53</v>
      </c>
      <c r="C49" s="25"/>
      <c r="D49" s="22"/>
      <c r="E49" s="25"/>
      <c r="F49" s="22"/>
      <c r="G49" s="25"/>
      <c r="H49" s="22"/>
      <c r="I49" s="25"/>
      <c r="J49" s="22"/>
      <c r="K49" s="25"/>
      <c r="L49" s="73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2"/>
        <v>0</v>
      </c>
      <c r="AY49" s="22">
        <f t="shared" si="3"/>
        <v>0</v>
      </c>
    </row>
    <row r="50" spans="1:51" x14ac:dyDescent="0.25">
      <c r="A50" s="19" t="s">
        <v>203</v>
      </c>
      <c r="B50" s="20" t="s">
        <v>34</v>
      </c>
      <c r="C50" s="25"/>
      <c r="D50" s="22"/>
      <c r="E50" s="25"/>
      <c r="F50" s="22"/>
      <c r="G50" s="25"/>
      <c r="H50" s="22"/>
      <c r="I50" s="25"/>
      <c r="J50" s="22"/>
      <c r="K50" s="25"/>
      <c r="L50" s="73"/>
      <c r="M50" s="25"/>
      <c r="N50" s="22"/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0</v>
      </c>
      <c r="AY50" s="22">
        <f t="shared" si="3"/>
        <v>0</v>
      </c>
    </row>
    <row r="51" spans="1:51" x14ac:dyDescent="0.25">
      <c r="A51" s="19" t="s">
        <v>134</v>
      </c>
      <c r="B51" s="20" t="s">
        <v>34</v>
      </c>
      <c r="C51" s="25"/>
      <c r="D51" s="22"/>
      <c r="E51" s="25"/>
      <c r="F51" s="22"/>
      <c r="G51" s="25"/>
      <c r="H51" s="22"/>
      <c r="I51" s="25"/>
      <c r="J51" s="22"/>
      <c r="K51" s="25"/>
      <c r="L51" s="73"/>
      <c r="M51" s="25"/>
      <c r="N51" s="22"/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0</v>
      </c>
      <c r="AY51" s="22">
        <f t="shared" si="3"/>
        <v>0</v>
      </c>
    </row>
    <row r="52" spans="1:51" x14ac:dyDescent="0.25">
      <c r="A52" s="19" t="s">
        <v>204</v>
      </c>
      <c r="B52" s="20" t="s">
        <v>34</v>
      </c>
      <c r="C52" s="25"/>
      <c r="D52" s="22"/>
      <c r="E52" s="25"/>
      <c r="F52" s="22"/>
      <c r="G52" s="25"/>
      <c r="H52" s="22"/>
      <c r="I52" s="25"/>
      <c r="J52" s="22"/>
      <c r="K52" s="25"/>
      <c r="L52" s="73"/>
      <c r="M52" s="25"/>
      <c r="N52" s="22"/>
      <c r="O52" s="25"/>
      <c r="P52" s="22"/>
      <c r="Q52" s="25"/>
      <c r="R52" s="22"/>
      <c r="S52" s="21"/>
      <c r="T52" s="22"/>
      <c r="U52" s="25"/>
      <c r="V52" s="22"/>
      <c r="W52" s="25"/>
      <c r="X52" s="22"/>
      <c r="Y52" s="25"/>
      <c r="Z52" s="22"/>
      <c r="AA52" s="21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2"/>
        <v>0</v>
      </c>
      <c r="AY52" s="22">
        <f t="shared" si="3"/>
        <v>0</v>
      </c>
    </row>
    <row r="53" spans="1:51" x14ac:dyDescent="0.25">
      <c r="A53" s="19" t="s">
        <v>220</v>
      </c>
      <c r="B53" s="20" t="s">
        <v>34</v>
      </c>
      <c r="C53" s="25"/>
      <c r="D53" s="22"/>
      <c r="E53" s="25"/>
      <c r="F53" s="22"/>
      <c r="G53" s="25"/>
      <c r="H53" s="22"/>
      <c r="I53" s="25"/>
      <c r="J53" s="22"/>
      <c r="K53" s="25"/>
      <c r="L53" s="73"/>
      <c r="M53" s="25"/>
      <c r="N53" s="22"/>
      <c r="O53" s="25"/>
      <c r="P53" s="22"/>
      <c r="Q53" s="25"/>
      <c r="R53" s="22"/>
      <c r="S53" s="21"/>
      <c r="T53" s="22"/>
      <c r="U53" s="25"/>
      <c r="V53" s="22"/>
      <c r="W53" s="25"/>
      <c r="X53" s="22"/>
      <c r="Y53" s="25"/>
      <c r="Z53" s="22"/>
      <c r="AA53" s="21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0</v>
      </c>
      <c r="AY53" s="22">
        <f t="shared" si="3"/>
        <v>0</v>
      </c>
    </row>
    <row r="54" spans="1:51" x14ac:dyDescent="0.25">
      <c r="A54" s="19" t="s">
        <v>59</v>
      </c>
      <c r="B54" s="20"/>
      <c r="C54" s="25"/>
      <c r="D54" s="22"/>
      <c r="E54" s="25"/>
      <c r="F54" s="22"/>
      <c r="G54" s="25"/>
      <c r="H54" s="22"/>
      <c r="I54" s="25"/>
      <c r="J54" s="22"/>
      <c r="K54" s="25"/>
      <c r="L54" s="73"/>
      <c r="M54" s="25"/>
      <c r="N54" s="22"/>
      <c r="O54" s="25"/>
      <c r="P54" s="22"/>
      <c r="Q54" s="25"/>
      <c r="R54" s="22"/>
      <c r="S54" s="21"/>
      <c r="T54" s="22"/>
      <c r="U54" s="25"/>
      <c r="V54" s="22"/>
      <c r="W54" s="25"/>
      <c r="X54" s="22"/>
      <c r="Y54" s="25"/>
      <c r="Z54" s="22"/>
      <c r="AA54" s="25"/>
      <c r="AB54" s="22"/>
      <c r="AC54" s="25"/>
      <c r="AD54" s="22"/>
      <c r="AE54" s="25"/>
      <c r="AF54" s="22"/>
      <c r="AG54" s="25"/>
      <c r="AH54" s="22"/>
      <c r="AI54" s="25"/>
      <c r="AJ54" s="22"/>
      <c r="AK54" s="25"/>
      <c r="AL54" s="22"/>
      <c r="AM54" s="25"/>
      <c r="AN54" s="22"/>
      <c r="AO54" s="25"/>
      <c r="AP54" s="22"/>
      <c r="AQ54" s="25"/>
      <c r="AR54" s="22"/>
      <c r="AS54" s="25"/>
      <c r="AT54" s="22"/>
      <c r="AU54" s="25"/>
      <c r="AV54" s="22"/>
      <c r="AW54"/>
      <c r="AX54" s="74">
        <f t="shared" si="2"/>
        <v>0</v>
      </c>
      <c r="AY54" s="22">
        <f t="shared" si="3"/>
        <v>0</v>
      </c>
    </row>
    <row r="55" spans="1:51" s="18" customFormat="1" x14ac:dyDescent="0.25">
      <c r="A55" s="12" t="s">
        <v>60</v>
      </c>
      <c r="B55" s="13"/>
      <c r="C55" s="14"/>
      <c r="D55" s="15">
        <f>SUM(D56:D63)</f>
        <v>8.19</v>
      </c>
      <c r="E55" s="14"/>
      <c r="F55" s="15">
        <f>SUM(F56:F63)</f>
        <v>3.9</v>
      </c>
      <c r="G55" s="14"/>
      <c r="H55" s="15">
        <f>SUM(H56:H63)</f>
        <v>12.469999999999999</v>
      </c>
      <c r="I55" s="14"/>
      <c r="J55" s="15">
        <f>SUM(J56:J63)</f>
        <v>72.209999999999994</v>
      </c>
      <c r="K55" s="70"/>
      <c r="L55" s="70">
        <f>SUM(L56:L63)</f>
        <v>14.47</v>
      </c>
      <c r="M55" s="14"/>
      <c r="N55" s="15">
        <f>SUM(N56:N63)</f>
        <v>2.8</v>
      </c>
      <c r="O55" s="14"/>
      <c r="P55" s="15">
        <f>SUM(P56:P63)</f>
        <v>30.83</v>
      </c>
      <c r="Q55" s="14"/>
      <c r="R55" s="15">
        <f>SUM(R56:R63)</f>
        <v>52.01</v>
      </c>
      <c r="S55" s="14"/>
      <c r="T55" s="15">
        <f>SUM(T56:T63)</f>
        <v>36.480000000000004</v>
      </c>
      <c r="U55" s="14"/>
      <c r="V55" s="15">
        <f>SUM(V56:V63)</f>
        <v>11.870000000000001</v>
      </c>
      <c r="W55" s="14"/>
      <c r="X55" s="15">
        <f>SUM(X56:X63)</f>
        <v>42.33</v>
      </c>
      <c r="Y55" s="14"/>
      <c r="Z55" s="15">
        <f>SUM(Z56:Z63)</f>
        <v>51.120000000000005</v>
      </c>
      <c r="AA55" s="14"/>
      <c r="AB55" s="15">
        <f>SUM(AB56:AB63)</f>
        <v>23.94</v>
      </c>
      <c r="AC55" s="14"/>
      <c r="AD55" s="15">
        <f>SUM(AD56:AD63)</f>
        <v>53.16</v>
      </c>
      <c r="AE55" s="14"/>
      <c r="AF55" s="15">
        <f>SUM(AF56:AF63)</f>
        <v>25.17</v>
      </c>
      <c r="AG55" s="14"/>
      <c r="AH55" s="15">
        <f>SUM(AH56:AH63)</f>
        <v>36.4</v>
      </c>
      <c r="AI55" s="14"/>
      <c r="AJ55" s="15">
        <f>SUM(AJ56:AJ63)</f>
        <v>0</v>
      </c>
      <c r="AK55" s="14"/>
      <c r="AL55" s="15">
        <f>SUM(AL56:AL63)</f>
        <v>0</v>
      </c>
      <c r="AM55" s="14"/>
      <c r="AN55" s="15">
        <f>SUM(AN56:AN63)</f>
        <v>0</v>
      </c>
      <c r="AO55" s="14"/>
      <c r="AP55" s="15">
        <f>SUM(AP56:AP63)</f>
        <v>0</v>
      </c>
      <c r="AQ55" s="14"/>
      <c r="AR55" s="15">
        <f>SUM(AR56:AR63)</f>
        <v>0</v>
      </c>
      <c r="AS55" s="14"/>
      <c r="AT55" s="15">
        <f>SUM(AT56:AT63)</f>
        <v>0</v>
      </c>
      <c r="AU55" s="14"/>
      <c r="AV55" s="15">
        <f>SUM(AV56:AV63)</f>
        <v>0</v>
      </c>
      <c r="AX55" s="71">
        <f t="shared" si="2"/>
        <v>477.34999999999997</v>
      </c>
      <c r="AY55" s="15">
        <f t="shared" si="3"/>
        <v>452.46445497630333</v>
      </c>
    </row>
    <row r="56" spans="1:51" x14ac:dyDescent="0.25">
      <c r="A56" s="19" t="s">
        <v>61</v>
      </c>
      <c r="B56" s="20" t="s">
        <v>34</v>
      </c>
      <c r="C56" s="25"/>
      <c r="D56" s="22"/>
      <c r="E56" s="25"/>
      <c r="F56" s="22"/>
      <c r="G56" s="25"/>
      <c r="H56" s="22">
        <v>2.9</v>
      </c>
      <c r="I56" s="25">
        <v>0.80500000000000005</v>
      </c>
      <c r="J56" s="22">
        <v>18.53</v>
      </c>
      <c r="K56" s="1"/>
      <c r="L56" s="73">
        <v>4.6500000000000004</v>
      </c>
      <c r="M56" s="25"/>
      <c r="N56" s="22"/>
      <c r="O56" s="25"/>
      <c r="P56" s="22">
        <v>2.33</v>
      </c>
      <c r="Q56" s="25">
        <v>0.48</v>
      </c>
      <c r="R56" s="22">
        <v>11.04</v>
      </c>
      <c r="S56" s="25">
        <v>0.32500000000000001</v>
      </c>
      <c r="T56" s="22">
        <v>7.48</v>
      </c>
      <c r="U56" s="25"/>
      <c r="V56" s="22">
        <v>4.2</v>
      </c>
      <c r="W56" s="25">
        <v>0.33</v>
      </c>
      <c r="X56" s="22">
        <v>7.6</v>
      </c>
      <c r="Y56" s="25"/>
      <c r="Z56" s="22">
        <v>4.4000000000000004</v>
      </c>
      <c r="AA56" s="25"/>
      <c r="AB56" s="22"/>
      <c r="AC56" s="25">
        <v>0.26</v>
      </c>
      <c r="AD56" s="22">
        <v>5.99</v>
      </c>
      <c r="AE56" s="25"/>
      <c r="AF56" s="22"/>
      <c r="AG56" s="25"/>
      <c r="AH56" s="22"/>
      <c r="AI56" s="25"/>
      <c r="AJ56" s="22"/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/>
      <c r="AX56" s="74">
        <f t="shared" si="2"/>
        <v>69.12</v>
      </c>
      <c r="AY56" s="22">
        <f t="shared" si="3"/>
        <v>65.516587677725127</v>
      </c>
    </row>
    <row r="57" spans="1:51" x14ac:dyDescent="0.25">
      <c r="A57" s="19" t="s">
        <v>62</v>
      </c>
      <c r="B57" s="20" t="s">
        <v>34</v>
      </c>
      <c r="C57"/>
      <c r="D57" s="22"/>
      <c r="E57"/>
      <c r="F57" s="22"/>
      <c r="G57"/>
      <c r="H57" s="22">
        <v>4.8499999999999996</v>
      </c>
      <c r="I57"/>
      <c r="J57" s="22"/>
      <c r="K57" s="1"/>
      <c r="L57" s="22"/>
      <c r="M57"/>
      <c r="N57" s="22"/>
      <c r="O57"/>
      <c r="P57" s="22"/>
      <c r="Q57">
        <v>0.06</v>
      </c>
      <c r="R57" s="22">
        <v>1.38</v>
      </c>
      <c r="S57">
        <v>4.4999999999999998E-2</v>
      </c>
      <c r="T57" s="22">
        <v>1.04</v>
      </c>
      <c r="U57"/>
      <c r="V57" s="22"/>
      <c r="W57"/>
      <c r="X57" s="22"/>
      <c r="Y57"/>
      <c r="Z57" s="22"/>
      <c r="AA57">
        <v>7.4999999999999997E-2</v>
      </c>
      <c r="AB57" s="22">
        <v>1.73</v>
      </c>
      <c r="AC57">
        <v>9.5000000000000001E-2</v>
      </c>
      <c r="AD57" s="22">
        <v>2.19</v>
      </c>
      <c r="AE57"/>
      <c r="AF57" s="22"/>
      <c r="AG57"/>
      <c r="AH57" s="22"/>
      <c r="AI57" s="102"/>
      <c r="AJ57" s="22"/>
      <c r="AK57"/>
      <c r="AL57" s="22"/>
      <c r="AM57"/>
      <c r="AN57" s="22"/>
      <c r="AO57"/>
      <c r="AP57" s="22"/>
      <c r="AQ57"/>
      <c r="AR57" s="22"/>
      <c r="AS57"/>
      <c r="AT57" s="22"/>
      <c r="AU57"/>
      <c r="AV57" s="22"/>
      <c r="AW57"/>
      <c r="AX57" s="74">
        <f t="shared" si="2"/>
        <v>11.19</v>
      </c>
      <c r="AY57" s="22">
        <f t="shared" si="3"/>
        <v>10.606635071090048</v>
      </c>
    </row>
    <row r="58" spans="1:51" x14ac:dyDescent="0.25">
      <c r="A58" s="19" t="s">
        <v>63</v>
      </c>
      <c r="B58" s="20" t="s">
        <v>34</v>
      </c>
      <c r="C58"/>
      <c r="D58" s="22"/>
      <c r="E58"/>
      <c r="F58" s="22"/>
      <c r="G58"/>
      <c r="H58" s="22">
        <v>2.09</v>
      </c>
      <c r="I58">
        <v>1.83</v>
      </c>
      <c r="J58" s="22">
        <v>42.12</v>
      </c>
      <c r="K58" s="1"/>
      <c r="L58" s="22"/>
      <c r="M58"/>
      <c r="N58" s="22"/>
      <c r="O58"/>
      <c r="P58" s="22"/>
      <c r="Q58">
        <v>1.1200000000000001</v>
      </c>
      <c r="R58" s="22">
        <v>25.77</v>
      </c>
      <c r="S58">
        <v>0.71499999999999997</v>
      </c>
      <c r="T58" s="22">
        <v>16.46</v>
      </c>
      <c r="U58"/>
      <c r="V58" s="22"/>
      <c r="W58">
        <v>0.51</v>
      </c>
      <c r="X58" s="22">
        <v>11.74</v>
      </c>
      <c r="Y58"/>
      <c r="Z58" s="22">
        <v>3.09</v>
      </c>
      <c r="AA58">
        <v>0.55000000000000004</v>
      </c>
      <c r="AB58" s="22">
        <v>12.66</v>
      </c>
      <c r="AC58">
        <v>0.94499999999999995</v>
      </c>
      <c r="AD58" s="22">
        <v>21.75</v>
      </c>
      <c r="AE58"/>
      <c r="AF58" s="22"/>
      <c r="AG58"/>
      <c r="AH58" s="22"/>
      <c r="AI58"/>
      <c r="AJ58" s="22"/>
      <c r="AK58"/>
      <c r="AL58" s="22"/>
      <c r="AM58"/>
      <c r="AN58" s="22"/>
      <c r="AO58"/>
      <c r="AP58" s="22"/>
      <c r="AQ58"/>
      <c r="AR58" s="22"/>
      <c r="AS58"/>
      <c r="AT58" s="22"/>
      <c r="AU58"/>
      <c r="AV58" s="22"/>
      <c r="AW58"/>
      <c r="AX58" s="74">
        <f t="shared" si="2"/>
        <v>135.68</v>
      </c>
      <c r="AY58" s="22">
        <f t="shared" si="3"/>
        <v>128.60663507109007</v>
      </c>
    </row>
    <row r="59" spans="1:51" x14ac:dyDescent="0.25">
      <c r="A59" s="19" t="s">
        <v>64</v>
      </c>
      <c r="B59" s="20" t="s">
        <v>34</v>
      </c>
      <c r="C59" s="25"/>
      <c r="D59" s="22"/>
      <c r="E59" s="25"/>
      <c r="F59" s="22"/>
      <c r="G59" s="25"/>
      <c r="H59" s="22"/>
      <c r="I59" s="25"/>
      <c r="J59" s="22"/>
      <c r="K59" s="1"/>
      <c r="L59" s="73"/>
      <c r="M59" s="25"/>
      <c r="N59" s="22"/>
      <c r="O59" s="25"/>
      <c r="P59" s="22"/>
      <c r="Q59" s="25"/>
      <c r="R59" s="22"/>
      <c r="S59" s="25"/>
      <c r="T59" s="22"/>
      <c r="U59" s="8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2"/>
        <v>0</v>
      </c>
      <c r="AY59" s="22">
        <f t="shared" si="3"/>
        <v>0</v>
      </c>
    </row>
    <row r="60" spans="1:51" x14ac:dyDescent="0.25">
      <c r="A60" s="19" t="s">
        <v>65</v>
      </c>
      <c r="B60" s="20" t="s">
        <v>34</v>
      </c>
      <c r="C60" s="25"/>
      <c r="D60" s="22"/>
      <c r="E60" s="25"/>
      <c r="F60" s="22"/>
      <c r="G60" s="25"/>
      <c r="H60" s="22"/>
      <c r="I60" s="25"/>
      <c r="J60" s="22"/>
      <c r="K60" s="1"/>
      <c r="L60" s="73"/>
      <c r="M60" s="25"/>
      <c r="N60" s="22"/>
      <c r="O60" s="25"/>
      <c r="P60" s="22"/>
      <c r="Q60" s="25"/>
      <c r="R60" s="22"/>
      <c r="S60" s="25"/>
      <c r="T60" s="22"/>
      <c r="U60" s="25"/>
      <c r="V60" s="22"/>
      <c r="W60" s="25"/>
      <c r="X60" s="22"/>
      <c r="Y60" s="25"/>
      <c r="Z60" s="22"/>
      <c r="AA60" s="25"/>
      <c r="AB60" s="22"/>
      <c r="AC60" s="25"/>
      <c r="AD60" s="22"/>
      <c r="AE60" s="25"/>
      <c r="AF60" s="22"/>
      <c r="AG60" s="25"/>
      <c r="AH60" s="22"/>
      <c r="AI60" s="25"/>
      <c r="AJ60" s="22"/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 t="shared" si="2"/>
        <v>0</v>
      </c>
      <c r="AY60" s="22">
        <f t="shared" si="3"/>
        <v>0</v>
      </c>
    </row>
    <row r="61" spans="1:51" x14ac:dyDescent="0.25">
      <c r="A61" s="19" t="s">
        <v>66</v>
      </c>
      <c r="B61" s="20" t="s">
        <v>34</v>
      </c>
      <c r="C61" s="25"/>
      <c r="D61" s="22">
        <v>8.19</v>
      </c>
      <c r="E61" s="25">
        <v>0.41</v>
      </c>
      <c r="F61" s="22">
        <v>3.9</v>
      </c>
      <c r="G61" s="25"/>
      <c r="H61" s="22">
        <v>2.63</v>
      </c>
      <c r="I61" s="25">
        <v>1.2150000000000001</v>
      </c>
      <c r="J61" s="22">
        <v>11.56</v>
      </c>
      <c r="K61" s="1"/>
      <c r="L61" s="73">
        <v>9.82</v>
      </c>
      <c r="M61" s="25">
        <v>0.29499999999999998</v>
      </c>
      <c r="N61" s="22">
        <v>2.8</v>
      </c>
      <c r="O61" s="25"/>
      <c r="P61" s="22">
        <v>26.75</v>
      </c>
      <c r="Q61" s="25">
        <v>1.115</v>
      </c>
      <c r="R61" s="22">
        <v>10.6</v>
      </c>
      <c r="S61" s="25">
        <v>1.21</v>
      </c>
      <c r="T61" s="22">
        <v>11.5</v>
      </c>
      <c r="U61" s="25"/>
      <c r="V61" s="22">
        <v>7.67</v>
      </c>
      <c r="W61" s="25">
        <v>2.42</v>
      </c>
      <c r="X61" s="22">
        <v>22.99</v>
      </c>
      <c r="Y61" s="25"/>
      <c r="Z61" s="22">
        <v>43.63</v>
      </c>
      <c r="AA61" s="25">
        <v>0.86</v>
      </c>
      <c r="AB61" s="22">
        <v>8.17</v>
      </c>
      <c r="AC61" s="25">
        <v>2.4449999999999998</v>
      </c>
      <c r="AD61" s="22">
        <v>23.23</v>
      </c>
      <c r="AE61" s="25"/>
      <c r="AF61" s="22">
        <v>25.17</v>
      </c>
      <c r="AG61" s="25"/>
      <c r="AH61" s="22">
        <v>36.4</v>
      </c>
      <c r="AI61" s="25"/>
      <c r="AJ61" s="22"/>
      <c r="AK61" s="25"/>
      <c r="AL61" s="22"/>
      <c r="AM61" s="25"/>
      <c r="AN61" s="22"/>
      <c r="AO61" s="25"/>
      <c r="AP61" s="22"/>
      <c r="AQ61" s="25"/>
      <c r="AR61" s="22"/>
      <c r="AS61" s="25"/>
      <c r="AT61" s="22"/>
      <c r="AU61" s="25"/>
      <c r="AV61" s="22"/>
      <c r="AW61"/>
      <c r="AX61" s="74">
        <f t="shared" si="2"/>
        <v>255.01</v>
      </c>
      <c r="AY61" s="22">
        <f t="shared" si="3"/>
        <v>241.71563981042655</v>
      </c>
    </row>
    <row r="62" spans="1:51" x14ac:dyDescent="0.25">
      <c r="A62" s="19" t="s">
        <v>38</v>
      </c>
      <c r="B62" s="20" t="s">
        <v>34</v>
      </c>
      <c r="C62" s="25"/>
      <c r="D62" s="22"/>
      <c r="E62" s="25"/>
      <c r="F62" s="22"/>
      <c r="G62" s="25"/>
      <c r="H62" s="22"/>
      <c r="I62" s="25"/>
      <c r="J62" s="22"/>
      <c r="K62" s="1"/>
      <c r="L62" s="73"/>
      <c r="M62" s="25"/>
      <c r="N62" s="22"/>
      <c r="O62" s="25"/>
      <c r="P62" s="22"/>
      <c r="Q62" s="25">
        <v>0.14000000000000001</v>
      </c>
      <c r="R62" s="22">
        <v>3.22</v>
      </c>
      <c r="S62" s="25"/>
      <c r="T62" s="22"/>
      <c r="U62" s="25"/>
      <c r="V62" s="22"/>
      <c r="W62" s="25"/>
      <c r="X62" s="22"/>
      <c r="Y62" s="25"/>
      <c r="Z62" s="22"/>
      <c r="AA62" s="25">
        <v>0.06</v>
      </c>
      <c r="AB62" s="22">
        <v>1.38</v>
      </c>
      <c r="AC62" s="25"/>
      <c r="AD62" s="22"/>
      <c r="AE62" s="25"/>
      <c r="AF62" s="22"/>
      <c r="AG62" s="25"/>
      <c r="AH62" s="22"/>
      <c r="AI62" s="25"/>
      <c r="AJ62" s="22"/>
      <c r="AK62" s="25"/>
      <c r="AL62" s="22"/>
      <c r="AM62" s="25"/>
      <c r="AN62" s="22"/>
      <c r="AO62" s="25"/>
      <c r="AP62" s="22"/>
      <c r="AQ62" s="25"/>
      <c r="AR62" s="22"/>
      <c r="AS62" s="25"/>
      <c r="AT62" s="22"/>
      <c r="AU62" s="25"/>
      <c r="AV62" s="22"/>
      <c r="AW62"/>
      <c r="AX62" s="74">
        <f t="shared" si="2"/>
        <v>4.5999999999999996</v>
      </c>
      <c r="AY62" s="22">
        <f t="shared" si="3"/>
        <v>4.3601895734597154</v>
      </c>
    </row>
    <row r="63" spans="1:51" x14ac:dyDescent="0.25">
      <c r="A63" s="19" t="s">
        <v>114</v>
      </c>
      <c r="B63" s="20"/>
      <c r="C63" s="25"/>
      <c r="D63" s="22"/>
      <c r="E63" s="25"/>
      <c r="F63" s="22"/>
      <c r="G63" s="25"/>
      <c r="H63" s="22"/>
      <c r="I63" s="25"/>
      <c r="J63" s="22"/>
      <c r="K63" s="1"/>
      <c r="L63" s="73"/>
      <c r="M63" s="25"/>
      <c r="N63" s="22"/>
      <c r="O63" s="25"/>
      <c r="P63" s="22">
        <v>1.75</v>
      </c>
      <c r="Q63" s="25"/>
      <c r="R63" s="22"/>
      <c r="S63" s="25"/>
      <c r="T63" s="22"/>
      <c r="U63" s="25"/>
      <c r="V63" s="22"/>
      <c r="W63" s="25"/>
      <c r="X63" s="22"/>
      <c r="Y63" s="25"/>
      <c r="Z63" s="22"/>
      <c r="AA63" s="25"/>
      <c r="AB63" s="22"/>
      <c r="AC63" s="25"/>
      <c r="AD63" s="22"/>
      <c r="AE63" s="25"/>
      <c r="AF63" s="22"/>
      <c r="AG63" s="25"/>
      <c r="AH63" s="22"/>
      <c r="AI63" s="25"/>
      <c r="AJ63" s="22"/>
      <c r="AK63" s="25"/>
      <c r="AL63" s="22"/>
      <c r="AM63" s="25"/>
      <c r="AN63" s="22"/>
      <c r="AO63" s="25"/>
      <c r="AP63" s="22"/>
      <c r="AQ63" s="25"/>
      <c r="AR63" s="22"/>
      <c r="AS63" s="25"/>
      <c r="AT63" s="22"/>
      <c r="AU63" s="25"/>
      <c r="AV63" s="22"/>
      <c r="AW63"/>
      <c r="AX63" s="74">
        <f t="shared" si="2"/>
        <v>1.75</v>
      </c>
      <c r="AY63" s="22">
        <f t="shared" si="3"/>
        <v>1.6587677725118484</v>
      </c>
    </row>
    <row r="64" spans="1:51" s="18" customFormat="1" x14ac:dyDescent="0.25">
      <c r="A64" s="12" t="s">
        <v>67</v>
      </c>
      <c r="B64" s="13"/>
      <c r="C64" s="14"/>
      <c r="D64" s="15">
        <f>SUM(D65:D66)</f>
        <v>2.5</v>
      </c>
      <c r="E64" s="14"/>
      <c r="F64" s="15">
        <f>SUM(F65:F66)</f>
        <v>26.1</v>
      </c>
      <c r="G64" s="14"/>
      <c r="H64" s="15">
        <f>SUM(H65:H66)</f>
        <v>11.2</v>
      </c>
      <c r="I64" s="14"/>
      <c r="J64" s="15">
        <f>SUM(J65:J66)</f>
        <v>2.5</v>
      </c>
      <c r="K64" s="70"/>
      <c r="L64" s="70">
        <f>SUM(L65:L66)</f>
        <v>0</v>
      </c>
      <c r="M64" s="14"/>
      <c r="N64" s="15">
        <f>SUM(N65:N66)</f>
        <v>2.5</v>
      </c>
      <c r="O64" s="14"/>
      <c r="P64" s="15">
        <f>SUM(P65:P66)</f>
        <v>5</v>
      </c>
      <c r="Q64" s="14"/>
      <c r="R64" s="15">
        <f>SUM(R65:R66)</f>
        <v>2.9</v>
      </c>
      <c r="S64" s="14"/>
      <c r="T64" s="15">
        <f>SUM(T65:T66)</f>
        <v>18.3</v>
      </c>
      <c r="U64" s="14"/>
      <c r="V64" s="15">
        <f>SUM(V65:V66)</f>
        <v>10.8</v>
      </c>
      <c r="W64" s="14"/>
      <c r="X64" s="15">
        <f>SUM(X65:X66)</f>
        <v>0</v>
      </c>
      <c r="Y64" s="14"/>
      <c r="Z64" s="15">
        <f>SUM(Z65:Z66)</f>
        <v>7.5</v>
      </c>
      <c r="AA64" s="14"/>
      <c r="AB64" s="15">
        <f>SUM(AB65:AB66)</f>
        <v>10.45</v>
      </c>
      <c r="AC64" s="14"/>
      <c r="AD64" s="15">
        <f>SUM(AD65:AD66)</f>
        <v>11.2</v>
      </c>
      <c r="AE64" s="14"/>
      <c r="AF64" s="15">
        <f>SUM(AF65:AF66)</f>
        <v>10.4</v>
      </c>
      <c r="AG64" s="14"/>
      <c r="AH64" s="15">
        <f>SUM(AH65:AH66)</f>
        <v>0</v>
      </c>
      <c r="AI64" s="14"/>
      <c r="AJ64" s="15">
        <f>SUM(AJ65:AJ66)</f>
        <v>0</v>
      </c>
      <c r="AK64" s="14"/>
      <c r="AL64" s="15">
        <f>SUM(AL65:AL66)</f>
        <v>0</v>
      </c>
      <c r="AM64" s="14"/>
      <c r="AN64" s="15">
        <f>SUM(AN65:AN66)</f>
        <v>0</v>
      </c>
      <c r="AO64" s="14"/>
      <c r="AP64" s="15">
        <f>SUM(AP65:AP66)</f>
        <v>0</v>
      </c>
      <c r="AQ64" s="14"/>
      <c r="AR64" s="15">
        <f>SUM(AR65:AR66)</f>
        <v>0</v>
      </c>
      <c r="AS64" s="14"/>
      <c r="AT64" s="15">
        <f>SUM(AT65:AT66)</f>
        <v>0</v>
      </c>
      <c r="AU64" s="14"/>
      <c r="AV64" s="15">
        <f>SUM(AV65:AV66)</f>
        <v>0</v>
      </c>
      <c r="AX64" s="71">
        <f t="shared" si="2"/>
        <v>121.35</v>
      </c>
      <c r="AY64" s="15">
        <f t="shared" si="3"/>
        <v>115.02369668246446</v>
      </c>
    </row>
    <row r="65" spans="1:53" x14ac:dyDescent="0.25">
      <c r="A65" s="19" t="s">
        <v>68</v>
      </c>
      <c r="B65" s="20" t="s">
        <v>69</v>
      </c>
      <c r="C65" s="21">
        <v>1</v>
      </c>
      <c r="D65" s="22">
        <v>2.5</v>
      </c>
      <c r="E65" s="21">
        <v>7</v>
      </c>
      <c r="F65" s="22">
        <v>14.5</v>
      </c>
      <c r="G65" s="21">
        <v>1</v>
      </c>
      <c r="H65" s="22">
        <v>2.5</v>
      </c>
      <c r="I65" s="21">
        <v>1</v>
      </c>
      <c r="J65" s="22">
        <v>2.5</v>
      </c>
      <c r="K65" s="24"/>
      <c r="L65" s="73"/>
      <c r="M65" s="21">
        <v>1</v>
      </c>
      <c r="N65" s="22">
        <v>2.5</v>
      </c>
      <c r="O65" s="21">
        <v>2</v>
      </c>
      <c r="P65" s="22">
        <v>5</v>
      </c>
      <c r="Q65" s="21"/>
      <c r="R65" s="22"/>
      <c r="S65" s="21">
        <v>5</v>
      </c>
      <c r="T65" s="22">
        <v>12.5</v>
      </c>
      <c r="U65" s="21">
        <v>2</v>
      </c>
      <c r="V65" s="22">
        <v>5</v>
      </c>
      <c r="W65" s="21"/>
      <c r="X65" s="22"/>
      <c r="Y65" s="21">
        <v>3</v>
      </c>
      <c r="Z65" s="22">
        <v>7.5</v>
      </c>
      <c r="AA65" s="21">
        <v>4</v>
      </c>
      <c r="AB65" s="22">
        <v>7.55</v>
      </c>
      <c r="AC65" s="21">
        <v>1</v>
      </c>
      <c r="AD65" s="22">
        <v>2.5</v>
      </c>
      <c r="AE65" s="21">
        <v>3</v>
      </c>
      <c r="AF65" s="22">
        <v>7.5</v>
      </c>
      <c r="AG65" s="21"/>
      <c r="AH65" s="22"/>
      <c r="AI65" s="21"/>
      <c r="AJ65" s="22"/>
      <c r="AK65" s="21"/>
      <c r="AL65" s="22"/>
      <c r="AM65" s="21"/>
      <c r="AN65" s="22"/>
      <c r="AO65" s="21"/>
      <c r="AP65" s="22"/>
      <c r="AQ65" s="21"/>
      <c r="AR65" s="22"/>
      <c r="AS65" s="21"/>
      <c r="AT65" s="22"/>
      <c r="AU65" s="21"/>
      <c r="AV65" s="22"/>
      <c r="AW65"/>
      <c r="AX65" s="74">
        <f t="shared" si="2"/>
        <v>72.05</v>
      </c>
      <c r="AY65" s="22">
        <f t="shared" si="3"/>
        <v>68.293838862559241</v>
      </c>
      <c r="BA65" s="75"/>
    </row>
    <row r="66" spans="1:53" x14ac:dyDescent="0.25">
      <c r="A66" s="7" t="s">
        <v>70</v>
      </c>
      <c r="B66" s="8" t="s">
        <v>69</v>
      </c>
      <c r="C66" s="26"/>
      <c r="D66" s="10"/>
      <c r="E66" s="26">
        <v>4</v>
      </c>
      <c r="F66" s="10">
        <v>11.6</v>
      </c>
      <c r="G66" s="26">
        <v>3</v>
      </c>
      <c r="H66" s="10">
        <v>8.6999999999999993</v>
      </c>
      <c r="I66" s="26"/>
      <c r="J66" s="10"/>
      <c r="K66" s="26"/>
      <c r="L66" s="68"/>
      <c r="M66" s="26"/>
      <c r="N66" s="10"/>
      <c r="O66" s="26"/>
      <c r="P66" s="10"/>
      <c r="Q66" s="26">
        <v>1</v>
      </c>
      <c r="R66" s="10">
        <v>2.9</v>
      </c>
      <c r="S66" s="26">
        <v>2</v>
      </c>
      <c r="T66" s="10">
        <v>5.8</v>
      </c>
      <c r="U66" s="26">
        <v>2</v>
      </c>
      <c r="V66" s="10">
        <v>5.8</v>
      </c>
      <c r="W66" s="26"/>
      <c r="X66" s="10"/>
      <c r="Y66" s="26"/>
      <c r="Z66" s="10"/>
      <c r="AA66" s="26">
        <v>1</v>
      </c>
      <c r="AB66" s="10">
        <v>2.9</v>
      </c>
      <c r="AC66" s="26">
        <v>3</v>
      </c>
      <c r="AD66" s="10">
        <v>8.6999999999999993</v>
      </c>
      <c r="AE66" s="26">
        <v>1</v>
      </c>
      <c r="AF66" s="10">
        <v>2.9</v>
      </c>
      <c r="AG66" s="26"/>
      <c r="AH66" s="10"/>
      <c r="AI66" s="26"/>
      <c r="AJ66" s="10"/>
      <c r="AK66" s="26"/>
      <c r="AL66" s="10"/>
      <c r="AM66" s="26"/>
      <c r="AN66" s="10"/>
      <c r="AO66" s="26"/>
      <c r="AP66" s="10"/>
      <c r="AQ66" s="26"/>
      <c r="AR66" s="10"/>
      <c r="AS66" s="26"/>
      <c r="AT66" s="10"/>
      <c r="AU66" s="26"/>
      <c r="AV66" s="10"/>
      <c r="AW66"/>
      <c r="AX66" s="77">
        <f t="shared" si="2"/>
        <v>49.300000000000004</v>
      </c>
      <c r="AY66" s="10">
        <f t="shared" si="3"/>
        <v>46.72985781990522</v>
      </c>
    </row>
    <row r="67" spans="1:53" s="18" customFormat="1" x14ac:dyDescent="0.25">
      <c r="A67" s="12" t="s">
        <v>71</v>
      </c>
      <c r="B67" s="13"/>
      <c r="C67" s="14"/>
      <c r="D67" s="15">
        <f>SUM(D68:D68)</f>
        <v>0</v>
      </c>
      <c r="E67" s="14"/>
      <c r="F67" s="15">
        <f>SUM(F68:F68)</f>
        <v>0</v>
      </c>
      <c r="G67" s="14"/>
      <c r="H67" s="15">
        <f>SUM(H68:H68)</f>
        <v>0</v>
      </c>
      <c r="I67" s="14"/>
      <c r="J67" s="15">
        <f>SUM(J68:J68)</f>
        <v>0</v>
      </c>
      <c r="K67" s="70"/>
      <c r="L67" s="70"/>
      <c r="M67" s="14"/>
      <c r="N67" s="15">
        <f>SUM(N68:N68)</f>
        <v>0</v>
      </c>
      <c r="O67" s="14"/>
      <c r="P67" s="15">
        <f>SUM(P68:P68)</f>
        <v>0</v>
      </c>
      <c r="Q67" s="14"/>
      <c r="R67" s="15">
        <f>SUM(R68:R68)</f>
        <v>0</v>
      </c>
      <c r="S67" s="14"/>
      <c r="T67" s="15">
        <f>SUM(T68:T68)</f>
        <v>0</v>
      </c>
      <c r="U67" s="14"/>
      <c r="V67" s="15">
        <f>SUM(V68:V68)</f>
        <v>0</v>
      </c>
      <c r="W67" s="14"/>
      <c r="X67" s="15">
        <f>SUM(X68:X68)</f>
        <v>0</v>
      </c>
      <c r="Y67" s="14"/>
      <c r="Z67" s="15">
        <f>SUM(Z68:Z68)</f>
        <v>0</v>
      </c>
      <c r="AA67" s="14"/>
      <c r="AB67" s="15">
        <f>SUM(AB68:AB68)</f>
        <v>0</v>
      </c>
      <c r="AC67" s="14"/>
      <c r="AD67" s="15">
        <f>SUM(AD68:AD68)</f>
        <v>0</v>
      </c>
      <c r="AE67" s="14"/>
      <c r="AF67" s="15">
        <f>SUM(AF68:AF68)</f>
        <v>0</v>
      </c>
      <c r="AG67" s="14"/>
      <c r="AH67" s="15">
        <f>SUM(AH68:AH68)</f>
        <v>0</v>
      </c>
      <c r="AI67" s="14"/>
      <c r="AJ67" s="15">
        <f>SUM(AJ68:AJ68)</f>
        <v>0</v>
      </c>
      <c r="AK67" s="14"/>
      <c r="AL67" s="15">
        <f>SUM(AL68:AL68)</f>
        <v>0</v>
      </c>
      <c r="AM67" s="14"/>
      <c r="AN67" s="15">
        <f>SUM(AN68:AN68)</f>
        <v>0</v>
      </c>
      <c r="AO67" s="14"/>
      <c r="AP67" s="15">
        <f>SUM(AP68:AP68)</f>
        <v>0</v>
      </c>
      <c r="AQ67" s="14"/>
      <c r="AR67" s="15">
        <f>SUM(AR68:AR68)</f>
        <v>0</v>
      </c>
      <c r="AS67" s="14"/>
      <c r="AT67" s="15">
        <f>SUM(AT68:AT68)</f>
        <v>0</v>
      </c>
      <c r="AU67" s="14"/>
      <c r="AV67" s="15">
        <f>SUM(AV68:AV68)</f>
        <v>0</v>
      </c>
      <c r="AX67" s="71">
        <f t="shared" si="2"/>
        <v>0</v>
      </c>
      <c r="AY67" s="15">
        <f t="shared" si="3"/>
        <v>0</v>
      </c>
    </row>
    <row r="68" spans="1:53" x14ac:dyDescent="0.25">
      <c r="A68" s="7" t="s">
        <v>72</v>
      </c>
      <c r="B68" s="8" t="s">
        <v>73</v>
      </c>
      <c r="C68" s="26"/>
      <c r="D68" s="10"/>
      <c r="E68" s="26"/>
      <c r="F68" s="10"/>
      <c r="G68" s="26"/>
      <c r="H68" s="10"/>
      <c r="I68" s="26"/>
      <c r="J68" s="10"/>
      <c r="K68" s="76"/>
      <c r="L68" s="68"/>
      <c r="M68" s="26"/>
      <c r="N68" s="10"/>
      <c r="O68" s="26"/>
      <c r="P68" s="10"/>
      <c r="Q68" s="26"/>
      <c r="R68" s="10"/>
      <c r="S68" s="26"/>
      <c r="T68" s="10"/>
      <c r="U68" s="26"/>
      <c r="V68" s="10"/>
      <c r="W68" s="26"/>
      <c r="X68" s="10"/>
      <c r="Y68" s="26"/>
      <c r="Z68" s="10"/>
      <c r="AA68" s="26"/>
      <c r="AB68" s="10"/>
      <c r="AC68" s="26"/>
      <c r="AD68" s="10"/>
      <c r="AE68" s="26"/>
      <c r="AF68" s="10"/>
      <c r="AG68" s="26"/>
      <c r="AH68" s="10"/>
      <c r="AI68" s="26"/>
      <c r="AJ68" s="10"/>
      <c r="AK68" s="26"/>
      <c r="AL68" s="10"/>
      <c r="AM68" s="26"/>
      <c r="AN68" s="10"/>
      <c r="AO68" s="26"/>
      <c r="AP68" s="10"/>
      <c r="AQ68" s="26"/>
      <c r="AR68" s="10"/>
      <c r="AS68" s="26"/>
      <c r="AT68" s="10"/>
      <c r="AU68" s="26"/>
      <c r="AV68" s="10"/>
      <c r="AW68"/>
      <c r="AX68" s="77">
        <f t="shared" si="2"/>
        <v>0</v>
      </c>
      <c r="AY68" s="10">
        <f t="shared" si="3"/>
        <v>0</v>
      </c>
    </row>
    <row r="69" spans="1:53" s="30" customFormat="1" x14ac:dyDescent="0.25">
      <c r="A69" s="138" t="s">
        <v>74</v>
      </c>
      <c r="B69" s="138"/>
      <c r="C69" s="28"/>
      <c r="D69" s="29">
        <f>D3+D35+D55+D64+D67</f>
        <v>440.97000000000008</v>
      </c>
      <c r="E69" s="28"/>
      <c r="F69" s="29">
        <f>F3+F35+F55+F64+F67</f>
        <v>886.97</v>
      </c>
      <c r="G69" s="28"/>
      <c r="H69" s="29">
        <f>H3+H35+H55+H64+H67</f>
        <v>502.40000000000003</v>
      </c>
      <c r="I69" s="28"/>
      <c r="J69" s="29">
        <f>J3+J35+J55+J64+J67</f>
        <v>1202.42</v>
      </c>
      <c r="K69" s="29"/>
      <c r="L69" s="29">
        <f>L3+L35+L55+L64+L67</f>
        <v>516.08999999999992</v>
      </c>
      <c r="M69" s="28"/>
      <c r="N69" s="29">
        <f>N3+N35+N55+N64+N67</f>
        <v>713.8</v>
      </c>
      <c r="O69" s="28"/>
      <c r="P69" s="29">
        <f>P3+P35+P55+P64+P67</f>
        <v>492.74000000000007</v>
      </c>
      <c r="Q69" s="28"/>
      <c r="R69" s="29">
        <f>R3+R35+R55+R64+R67</f>
        <v>890.95999999999992</v>
      </c>
      <c r="S69" s="28"/>
      <c r="T69" s="29">
        <f>T3+T35+T55+T64+T67</f>
        <v>890.47000000000014</v>
      </c>
      <c r="U69" s="28"/>
      <c r="V69" s="29">
        <f>V3+V35+V55+V64+V67</f>
        <v>545.55999999999995</v>
      </c>
      <c r="W69" s="28"/>
      <c r="X69" s="29">
        <f>X3+X35+X55+X64+X67</f>
        <v>1015.1800000000001</v>
      </c>
      <c r="Y69" s="28"/>
      <c r="Z69" s="29">
        <f>Z3+Z35+Z55+Z64+Z67</f>
        <v>582.11999999999989</v>
      </c>
      <c r="AA69" s="28"/>
      <c r="AB69" s="29">
        <f>AB3+AB35+AB55+AB64+AB67</f>
        <v>711.38000000000022</v>
      </c>
      <c r="AC69" s="28"/>
      <c r="AD69" s="29">
        <f>AD3+AD35+AD55+AD64+AD67</f>
        <v>1061.18</v>
      </c>
      <c r="AE69" s="28"/>
      <c r="AF69" s="29">
        <f>AF3+AF35+AF55+AF64+AF67</f>
        <v>497.37</v>
      </c>
      <c r="AG69" s="28"/>
      <c r="AH69" s="29">
        <f>AH3+AH35+AH55+AH64+AH67</f>
        <v>473.22999999999996</v>
      </c>
      <c r="AI69" s="28"/>
      <c r="AJ69" s="29">
        <f>AJ3+AJ35+AJ55+AJ64+AJ67</f>
        <v>0</v>
      </c>
      <c r="AK69" s="28"/>
      <c r="AL69" s="29">
        <f>AL3+AL35+AL55+AL64+AL67</f>
        <v>0</v>
      </c>
      <c r="AM69" s="28"/>
      <c r="AN69" s="29">
        <f>AN3+AN35+AN55+AN64+AN67</f>
        <v>0</v>
      </c>
      <c r="AO69" s="28"/>
      <c r="AP69" s="29">
        <f>AP3+AP35+AP55+AP64+AP67</f>
        <v>0</v>
      </c>
      <c r="AQ69" s="28"/>
      <c r="AR69" s="29">
        <f>AR3+AR35+AR55+AR64+AR67</f>
        <v>0</v>
      </c>
      <c r="AS69" s="28"/>
      <c r="AT69" s="29">
        <f>AT3+AT35+AT55+AT64+AT67</f>
        <v>0</v>
      </c>
      <c r="AU69" s="28"/>
      <c r="AV69" s="29">
        <f>AV3+AV35+AV55+AV64+AV67</f>
        <v>0</v>
      </c>
      <c r="AW69" s="29"/>
      <c r="AX69" s="28">
        <f t="shared" si="2"/>
        <v>11422.839999999998</v>
      </c>
      <c r="AY69" s="29">
        <f t="shared" si="3"/>
        <v>10827.336492890994</v>
      </c>
    </row>
    <row r="70" spans="1:53" x14ac:dyDescent="0.25">
      <c r="C70" s="32"/>
      <c r="D70" s="32"/>
      <c r="E70" s="32"/>
      <c r="F70" s="12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Y70" s="78"/>
      <c r="AZ70" s="91"/>
    </row>
    <row r="71" spans="1:53" x14ac:dyDescent="0.25">
      <c r="A71" s="139" t="s">
        <v>75</v>
      </c>
      <c r="B71" s="33" t="s">
        <v>76</v>
      </c>
      <c r="C71" s="34"/>
      <c r="D71" s="109">
        <f>335-26.32</f>
        <v>308.68</v>
      </c>
      <c r="E71" s="34"/>
      <c r="F71" s="110">
        <f>859.1-50.9</f>
        <v>808.2</v>
      </c>
      <c r="G71" s="34"/>
      <c r="H71" s="111">
        <f>532-36.67</f>
        <v>495.33</v>
      </c>
      <c r="I71" s="34"/>
      <c r="J71" s="111">
        <f>1270.7-127.69</f>
        <v>1143.01</v>
      </c>
      <c r="K71" s="36"/>
      <c r="L71" s="110">
        <f>577-60.06</f>
        <v>516.94000000000005</v>
      </c>
      <c r="M71" s="34"/>
      <c r="N71" s="111">
        <f>673.1-33.13</f>
        <v>639.97</v>
      </c>
      <c r="O71" s="34"/>
      <c r="P71" s="111">
        <f>513-53.86</f>
        <v>459.14</v>
      </c>
      <c r="Q71" s="34"/>
      <c r="R71" s="110">
        <f>901.5-60.56</f>
        <v>840.94</v>
      </c>
      <c r="S71" s="34"/>
      <c r="T71" s="111">
        <f>810-40.72</f>
        <v>769.28</v>
      </c>
      <c r="U71" s="34"/>
      <c r="V71" s="111">
        <f>553.5-8.34</f>
        <v>545.16</v>
      </c>
      <c r="W71" s="34"/>
      <c r="X71" s="111">
        <f>959-52.49</f>
        <v>906.51</v>
      </c>
      <c r="Y71" s="34"/>
      <c r="Z71" s="111">
        <f>601-18.15</f>
        <v>582.85</v>
      </c>
      <c r="AA71" s="34"/>
      <c r="AB71" s="111">
        <f>629.3-11.71</f>
        <v>617.58999999999992</v>
      </c>
      <c r="AC71" s="34"/>
      <c r="AD71" s="111">
        <f>985.6-40.04</f>
        <v>945.56000000000006</v>
      </c>
      <c r="AE71" s="34"/>
      <c r="AF71" s="111">
        <f>562-91.43</f>
        <v>470.57</v>
      </c>
      <c r="AG71" s="34"/>
      <c r="AH71" s="111">
        <f>446-12.77</f>
        <v>433.23</v>
      </c>
      <c r="AI71" s="34"/>
      <c r="AJ71" s="111"/>
      <c r="AK71" s="34"/>
      <c r="AL71" s="111"/>
      <c r="AM71" s="34"/>
      <c r="AN71" s="111"/>
      <c r="AO71" s="34"/>
      <c r="AP71" s="111"/>
      <c r="AQ71" s="34"/>
      <c r="AR71" s="111"/>
      <c r="AS71" s="34"/>
      <c r="AT71" s="111"/>
      <c r="AU71" s="34"/>
      <c r="AV71" s="103"/>
      <c r="AW71" s="79"/>
      <c r="AX71" s="92">
        <f>SUM(D71,F71,H71,J71,L71,N71,P71,R71,T71,V71,X71,Z71,AB71,AD71,AF71,AH71,AJ71,AL71,AN71,AP71,AR71,AT71,AV71)</f>
        <v>10482.959999999999</v>
      </c>
      <c r="AY71" s="37">
        <f>AX71/1.055</f>
        <v>9936.4549763033174</v>
      </c>
    </row>
    <row r="72" spans="1:53" x14ac:dyDescent="0.25">
      <c r="A72" s="139"/>
      <c r="B72" s="38" t="s">
        <v>77</v>
      </c>
      <c r="C72" s="39">
        <v>1</v>
      </c>
      <c r="D72" s="113">
        <v>75</v>
      </c>
      <c r="E72" s="39">
        <v>4</v>
      </c>
      <c r="F72" s="114">
        <v>77.8</v>
      </c>
      <c r="G72" s="39">
        <v>1</v>
      </c>
      <c r="H72" s="115">
        <v>7</v>
      </c>
      <c r="I72" s="39">
        <v>3</v>
      </c>
      <c r="J72" s="115">
        <v>59.6</v>
      </c>
      <c r="K72" s="88"/>
      <c r="L72" s="114"/>
      <c r="M72" s="39">
        <v>4</v>
      </c>
      <c r="N72" s="115">
        <v>73.900000000000006</v>
      </c>
      <c r="O72" s="39"/>
      <c r="P72" s="115"/>
      <c r="Q72" s="39">
        <v>3</v>
      </c>
      <c r="R72" s="114">
        <v>49.3</v>
      </c>
      <c r="S72" s="39">
        <v>6</v>
      </c>
      <c r="T72" s="115">
        <v>121.19</v>
      </c>
      <c r="U72" s="39"/>
      <c r="V72" s="115"/>
      <c r="W72" s="39">
        <v>5</v>
      </c>
      <c r="X72" s="115">
        <v>109.01</v>
      </c>
      <c r="Y72" s="39"/>
      <c r="Z72" s="115"/>
      <c r="AA72" s="39">
        <v>4</v>
      </c>
      <c r="AB72" s="115">
        <v>84.9</v>
      </c>
      <c r="AC72" s="39">
        <v>6</v>
      </c>
      <c r="AD72" s="115">
        <v>116.05</v>
      </c>
      <c r="AE72" s="39">
        <v>1</v>
      </c>
      <c r="AF72" s="115">
        <v>26.8</v>
      </c>
      <c r="AG72" s="39">
        <v>1</v>
      </c>
      <c r="AH72" s="115">
        <v>40</v>
      </c>
      <c r="AI72" s="39"/>
      <c r="AJ72" s="115"/>
      <c r="AK72" s="39"/>
      <c r="AL72" s="115"/>
      <c r="AM72" s="39"/>
      <c r="AN72" s="115"/>
      <c r="AO72" s="39"/>
      <c r="AP72" s="115"/>
      <c r="AQ72" s="39"/>
      <c r="AR72" s="115"/>
      <c r="AS72" s="39"/>
      <c r="AT72" s="115"/>
      <c r="AU72" s="39"/>
      <c r="AV72" s="104"/>
      <c r="AW72" s="80"/>
      <c r="AX72" s="93">
        <f>SUM(D72,F72,H72,J72,L72,N72,P72,R72,T72,V72,X72,Z72,AB72,AD72,AF72,AH72,AJ72,AL72,AN72,AP72,AR72,AT72,AV72)</f>
        <v>840.55</v>
      </c>
      <c r="AY72" s="42">
        <f>AX72/1.055</f>
        <v>796.72985781990519</v>
      </c>
    </row>
    <row r="73" spans="1:53" ht="15.75" thickBot="1" x14ac:dyDescent="0.3">
      <c r="A73" s="139"/>
      <c r="B73" s="38" t="s">
        <v>245</v>
      </c>
      <c r="C73" s="39"/>
      <c r="D73" s="113"/>
      <c r="E73" s="39"/>
      <c r="F73" s="114"/>
      <c r="G73" s="39"/>
      <c r="H73" s="115"/>
      <c r="I73" s="39"/>
      <c r="J73" s="115"/>
      <c r="K73" s="88"/>
      <c r="L73" s="114"/>
      <c r="M73" s="39"/>
      <c r="N73" s="115"/>
      <c r="O73" s="39"/>
      <c r="P73" s="115"/>
      <c r="Q73" s="43"/>
      <c r="R73" s="114"/>
      <c r="S73" s="39"/>
      <c r="T73" s="115"/>
      <c r="U73" s="39"/>
      <c r="V73" s="115"/>
      <c r="W73" s="39"/>
      <c r="X73" s="115"/>
      <c r="Y73" s="39"/>
      <c r="Z73" s="115"/>
      <c r="AA73" s="39"/>
      <c r="AB73" s="115"/>
      <c r="AC73" s="39"/>
      <c r="AD73" s="115"/>
      <c r="AE73" s="39"/>
      <c r="AF73" s="115"/>
      <c r="AG73" s="39"/>
      <c r="AH73" s="115"/>
      <c r="AI73" s="39"/>
      <c r="AJ73" s="115"/>
      <c r="AK73" s="39"/>
      <c r="AL73" s="115"/>
      <c r="AM73" s="39"/>
      <c r="AN73" s="115"/>
      <c r="AO73" s="39"/>
      <c r="AP73" s="115"/>
      <c r="AQ73" s="39"/>
      <c r="AR73" s="115"/>
      <c r="AS73" s="39"/>
      <c r="AT73" s="115"/>
      <c r="AU73" s="39"/>
      <c r="AV73" s="104"/>
      <c r="AW73" s="80"/>
      <c r="AX73" s="93">
        <f>D73+F73+H73+J73+L73+N73+P73+R73+T73+V73+Z73+X73+AB73+AD73+AF73+AH73+AJ73+AL73+AN73+AP73+AR73+AT73+AV73</f>
        <v>0</v>
      </c>
      <c r="AY73" s="42"/>
    </row>
    <row r="74" spans="1:53" ht="15.75" thickBot="1" x14ac:dyDescent="0.3">
      <c r="A74" s="139"/>
      <c r="B74" s="38" t="s">
        <v>114</v>
      </c>
      <c r="C74" s="39"/>
      <c r="D74" s="113"/>
      <c r="E74" s="39"/>
      <c r="F74" s="114"/>
      <c r="G74" s="39"/>
      <c r="H74" s="115"/>
      <c r="I74" s="39"/>
      <c r="J74" s="115"/>
      <c r="K74" s="88"/>
      <c r="L74" s="114"/>
      <c r="M74" s="39"/>
      <c r="N74" s="115"/>
      <c r="O74" s="39"/>
      <c r="P74" s="115"/>
      <c r="Q74" s="43"/>
      <c r="R74" s="114"/>
      <c r="S74" s="39"/>
      <c r="T74" s="115"/>
      <c r="U74" s="39"/>
      <c r="V74" s="115"/>
      <c r="W74" s="39"/>
      <c r="X74" s="115"/>
      <c r="Y74" s="39"/>
      <c r="Z74" s="115"/>
      <c r="AA74" s="39" t="s">
        <v>278</v>
      </c>
      <c r="AB74" s="115">
        <v>8.15</v>
      </c>
      <c r="AC74" s="39"/>
      <c r="AD74" s="115"/>
      <c r="AE74" s="39"/>
      <c r="AF74" s="115"/>
      <c r="AG74" s="39"/>
      <c r="AH74" s="115"/>
      <c r="AI74" s="39"/>
      <c r="AJ74" s="115"/>
      <c r="AK74" s="39"/>
      <c r="AL74" s="115"/>
      <c r="AM74" s="39"/>
      <c r="AN74" s="115"/>
      <c r="AO74" s="39"/>
      <c r="AP74" s="115"/>
      <c r="AQ74" s="39"/>
      <c r="AR74" s="115"/>
      <c r="AS74" s="39"/>
      <c r="AT74" s="115"/>
      <c r="AU74" s="39"/>
      <c r="AV74" s="104"/>
      <c r="AW74" s="80"/>
      <c r="AX74" s="93"/>
      <c r="AY74" s="42"/>
    </row>
    <row r="75" spans="1:53" ht="15.75" thickBot="1" x14ac:dyDescent="0.3">
      <c r="A75" s="139"/>
      <c r="B75" s="38" t="s">
        <v>157</v>
      </c>
      <c r="C75" s="43"/>
      <c r="D75" s="113"/>
      <c r="E75" s="43"/>
      <c r="F75" s="114"/>
      <c r="G75" s="43"/>
      <c r="H75" s="115"/>
      <c r="I75" s="43"/>
      <c r="J75" s="115"/>
      <c r="K75" s="41"/>
      <c r="L75" s="114"/>
      <c r="M75" s="43"/>
      <c r="N75" s="115"/>
      <c r="O75" s="43"/>
      <c r="P75" s="115"/>
      <c r="Q75" s="43"/>
      <c r="R75" s="114"/>
      <c r="S75" s="43"/>
      <c r="T75" s="115"/>
      <c r="U75" s="43"/>
      <c r="V75" s="115"/>
      <c r="W75" s="43"/>
      <c r="X75" s="115"/>
      <c r="Y75" s="43"/>
      <c r="Z75" s="115"/>
      <c r="AA75" s="43"/>
      <c r="AB75" s="115"/>
      <c r="AC75" s="43"/>
      <c r="AD75" s="115"/>
      <c r="AE75" s="43"/>
      <c r="AF75" s="115"/>
      <c r="AG75" s="43"/>
      <c r="AH75" s="115"/>
      <c r="AI75" s="43"/>
      <c r="AJ75" s="115"/>
      <c r="AK75" s="43"/>
      <c r="AL75" s="115"/>
      <c r="AM75" s="43"/>
      <c r="AN75" s="115"/>
      <c r="AO75" s="43"/>
      <c r="AP75" s="115"/>
      <c r="AQ75" s="43"/>
      <c r="AR75" s="115"/>
      <c r="AS75" s="43"/>
      <c r="AT75" s="115"/>
      <c r="AU75" s="43"/>
      <c r="AV75" s="104"/>
      <c r="AW75" s="81"/>
      <c r="AX75" s="94"/>
      <c r="AY75" s="42"/>
    </row>
    <row r="76" spans="1:53" s="51" customFormat="1" x14ac:dyDescent="0.25">
      <c r="A76" s="139"/>
      <c r="B76" s="44" t="s">
        <v>78</v>
      </c>
      <c r="C76" s="45"/>
      <c r="D76" s="117">
        <f>SUM(D71:D75)</f>
        <v>383.68</v>
      </c>
      <c r="E76" s="105"/>
      <c r="F76" s="118">
        <f>SUM(F71:F75)</f>
        <v>886</v>
      </c>
      <c r="G76" s="105"/>
      <c r="H76" s="119">
        <f>SUM(H71:H75)</f>
        <v>502.33</v>
      </c>
      <c r="I76" s="105"/>
      <c r="J76" s="119">
        <f>SUM(J71:J75)</f>
        <v>1202.6099999999999</v>
      </c>
      <c r="K76" s="106"/>
      <c r="L76" s="118">
        <f>SUM(L71:L75)</f>
        <v>516.94000000000005</v>
      </c>
      <c r="M76" s="105"/>
      <c r="N76" s="119">
        <f>SUM(N71:N75)</f>
        <v>713.87</v>
      </c>
      <c r="O76" s="105"/>
      <c r="P76" s="119">
        <f>SUM(P71:P75)</f>
        <v>459.14</v>
      </c>
      <c r="Q76" s="105"/>
      <c r="R76" s="118">
        <f>SUM(R71:R75)</f>
        <v>890.24</v>
      </c>
      <c r="S76" s="105"/>
      <c r="T76" s="119">
        <f>SUM(T71:T75)</f>
        <v>890.47</v>
      </c>
      <c r="U76" s="105"/>
      <c r="V76" s="119">
        <f>SUM(V71:V75)</f>
        <v>545.16</v>
      </c>
      <c r="W76" s="105"/>
      <c r="X76" s="119">
        <f>SUM(X71:X75)</f>
        <v>1015.52</v>
      </c>
      <c r="Y76" s="105"/>
      <c r="Z76" s="119">
        <f>SUM(Z71:Z75)</f>
        <v>582.85</v>
      </c>
      <c r="AA76" s="105"/>
      <c r="AB76" s="119">
        <f>SUM(AB71:AB75)</f>
        <v>710.63999999999987</v>
      </c>
      <c r="AC76" s="105"/>
      <c r="AD76" s="119">
        <f>SUM(AD71:AD75)</f>
        <v>1061.6100000000001</v>
      </c>
      <c r="AE76" s="105"/>
      <c r="AF76" s="119">
        <f>SUM(AF71:AF75)</f>
        <v>497.37</v>
      </c>
      <c r="AG76" s="105"/>
      <c r="AH76" s="119">
        <f>SUM(AH71:AH75)</f>
        <v>473.23</v>
      </c>
      <c r="AI76" s="105"/>
      <c r="AJ76" s="119">
        <f>SUM(AJ71:AJ75)</f>
        <v>0</v>
      </c>
      <c r="AK76" s="105"/>
      <c r="AL76" s="119">
        <f>SUM(AL71:AL75)</f>
        <v>0</v>
      </c>
      <c r="AM76" s="105"/>
      <c r="AN76" s="119">
        <f>SUM(AN71:AN75)</f>
        <v>0</v>
      </c>
      <c r="AO76" s="105"/>
      <c r="AP76" s="119">
        <f>SUM(AP71:AP75)</f>
        <v>0</v>
      </c>
      <c r="AQ76" s="105"/>
      <c r="AR76" s="119">
        <f>SUM(AR71:AR75)</f>
        <v>0</v>
      </c>
      <c r="AS76" s="105"/>
      <c r="AT76" s="119">
        <f>SUM(AT71:AT75)</f>
        <v>0</v>
      </c>
      <c r="AU76" s="105"/>
      <c r="AV76" s="107">
        <f>SUM(AV71:AV75)</f>
        <v>0</v>
      </c>
      <c r="AW76" s="82"/>
      <c r="AX76" s="95">
        <f>SUM(AX71:AX75)</f>
        <v>11323.509999999998</v>
      </c>
      <c r="AY76" s="48">
        <f>SUM(AY71:AY75)</f>
        <v>10733.184834123222</v>
      </c>
    </row>
    <row r="77" spans="1:53" ht="15" customHeight="1" x14ac:dyDescent="0.2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83"/>
      <c r="N77" s="83"/>
      <c r="O77" s="147"/>
      <c r="P77" s="147"/>
      <c r="Q77" s="83"/>
      <c r="R77" s="83"/>
      <c r="S77" s="83"/>
      <c r="T77" s="83"/>
      <c r="U77" s="83"/>
      <c r="V77" s="83"/>
      <c r="W77" s="32"/>
      <c r="X77" s="32"/>
      <c r="Y77" s="32"/>
      <c r="Z77" s="32"/>
      <c r="AA77" s="32"/>
      <c r="AB77" s="32"/>
      <c r="AC77" s="32"/>
      <c r="AD77" s="32"/>
      <c r="AE77" s="66"/>
      <c r="AF77" s="66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53" x14ac:dyDescent="0.25">
      <c r="M78" s="32"/>
      <c r="N78" s="32"/>
      <c r="AE78" s="66"/>
      <c r="AF78" s="66"/>
    </row>
    <row r="79" spans="1:53" x14ac:dyDescent="0.25">
      <c r="AE79" s="66"/>
      <c r="AF79" s="66"/>
      <c r="AX79" s="2">
        <f>AX67+AX64+AX55+AX35+AX3</f>
        <v>11422.839999999997</v>
      </c>
    </row>
    <row r="80" spans="1:53" x14ac:dyDescent="0.25">
      <c r="AX80" s="2">
        <f>SUM(AX3:AX68)-AX79</f>
        <v>11422.839999999989</v>
      </c>
    </row>
  </sheetData>
  <mergeCells count="28">
    <mergeCell ref="A69:B69"/>
    <mergeCell ref="A71:A76"/>
    <mergeCell ref="O77:P77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FFFF"/>
  </sheetPr>
  <dimension ref="A1:BA81"/>
  <sheetViews>
    <sheetView windowProtection="1" zoomScaleNormal="100" workbookViewId="0">
      <pane xSplit="2" ySplit="2" topLeftCell="AD3" activePane="bottomRight" state="frozen"/>
      <selection activeCell="A14" sqref="A14:XFD14"/>
      <selection pane="topRight" activeCell="A14" sqref="A14:XFD14"/>
      <selection pane="bottomLeft" activeCell="A14" sqref="A14:XFD14"/>
      <selection pane="bottomRight" activeCell="AH11" sqref="AH11"/>
    </sheetView>
  </sheetViews>
  <sheetFormatPr baseColWidth="10" defaultColWidth="9.140625" defaultRowHeight="15" x14ac:dyDescent="0.25"/>
  <cols>
    <col min="1" max="1" width="28" bestFit="1" customWidth="1"/>
    <col min="2" max="2" width="10.42578125" bestFit="1" customWidth="1"/>
    <col min="3" max="3" width="9.140625" style="124"/>
    <col min="4" max="4" width="9.42578125" style="125" bestFit="1" customWidth="1"/>
    <col min="5" max="5" width="9.140625" style="124"/>
    <col min="6" max="6" width="10" style="125" bestFit="1" customWidth="1"/>
    <col min="7" max="7" width="9.140625" style="124"/>
    <col min="8" max="8" width="10.85546875" style="125" bestFit="1" customWidth="1"/>
    <col min="9" max="9" width="9.140625" style="124"/>
    <col min="10" max="10" width="10.85546875" style="125" bestFit="1" customWidth="1"/>
    <col min="11" max="11" width="9.140625" style="125"/>
    <col min="12" max="12" width="9.42578125" style="125" bestFit="1" customWidth="1"/>
    <col min="13" max="13" width="9.140625" style="124"/>
    <col min="14" max="14" width="10" style="125" bestFit="1" customWidth="1"/>
    <col min="15" max="15" width="9.140625" style="124"/>
    <col min="16" max="16" width="10.85546875" style="125" bestFit="1" customWidth="1"/>
    <col min="17" max="17" width="9.140625" style="124"/>
    <col min="18" max="18" width="9.140625" style="125"/>
    <col min="19" max="19" width="9.140625" style="124"/>
    <col min="20" max="20" width="9.140625" style="125"/>
    <col min="21" max="21" width="9.140625" style="124"/>
    <col min="22" max="22" width="10" style="125" bestFit="1" customWidth="1"/>
    <col min="23" max="23" width="9.140625" style="124"/>
    <col min="24" max="24" width="10.85546875" style="125" bestFit="1" customWidth="1"/>
    <col min="25" max="25" width="9.140625" style="124"/>
    <col min="26" max="26" width="9.140625" style="125"/>
    <col min="27" max="27" width="9.28515625" style="124" customWidth="1"/>
    <col min="28" max="28" width="10.140625" style="125" customWidth="1"/>
    <col min="29" max="29" width="9.140625" style="124"/>
    <col min="30" max="30" width="10.85546875" style="125" bestFit="1" customWidth="1"/>
    <col min="31" max="31" width="9.140625" style="124"/>
    <col min="32" max="32" width="9.140625" style="125"/>
    <col min="33" max="33" width="9.140625" style="124"/>
    <col min="34" max="34" width="9.140625" style="125"/>
    <col min="35" max="35" width="9.140625" style="124"/>
    <col min="36" max="36" width="9.140625" style="125"/>
    <col min="37" max="37" width="9.140625" style="124"/>
    <col min="38" max="38" width="9.140625" style="125"/>
    <col min="39" max="39" width="9.140625" style="124"/>
    <col min="40" max="40" width="9.140625" style="125"/>
    <col min="41" max="41" width="9.140625" style="124"/>
    <col min="42" max="42" width="9.140625" style="125"/>
    <col min="43" max="43" width="9.140625" style="124"/>
    <col min="44" max="44" width="9.140625" style="125"/>
    <col min="45" max="45" width="9.140625" style="124"/>
    <col min="46" max="46" width="9.140625" style="125"/>
    <col min="47" max="47" width="9.140625" style="124"/>
    <col min="48" max="49" width="9.140625" style="125"/>
    <col min="50" max="51" width="11.85546875" bestFit="1" customWidth="1"/>
    <col min="52" max="52" width="10.85546875" bestFit="1" customWidth="1"/>
  </cols>
  <sheetData>
    <row r="1" spans="1:51" s="6" customFormat="1" ht="28.5" customHeight="1" thickBot="1" x14ac:dyDescent="0.3">
      <c r="A1" s="3"/>
      <c r="B1" s="4" t="s">
        <v>0</v>
      </c>
      <c r="C1" s="136" t="s">
        <v>282</v>
      </c>
      <c r="D1" s="136"/>
      <c r="E1" s="136" t="s">
        <v>283</v>
      </c>
      <c r="F1" s="136"/>
      <c r="G1" s="136" t="s">
        <v>285</v>
      </c>
      <c r="H1" s="136"/>
      <c r="I1" s="136" t="s">
        <v>286</v>
      </c>
      <c r="J1" s="136"/>
      <c r="K1" s="145" t="s">
        <v>287</v>
      </c>
      <c r="L1" s="145"/>
      <c r="M1" s="136" t="s">
        <v>288</v>
      </c>
      <c r="N1" s="136"/>
      <c r="O1" s="136" t="s">
        <v>289</v>
      </c>
      <c r="P1" s="136"/>
      <c r="Q1" s="136" t="s">
        <v>290</v>
      </c>
      <c r="R1" s="136"/>
      <c r="S1" s="136" t="s">
        <v>291</v>
      </c>
      <c r="T1" s="136"/>
      <c r="U1" s="136" t="s">
        <v>292</v>
      </c>
      <c r="V1" s="136"/>
      <c r="W1" s="136" t="s">
        <v>293</v>
      </c>
      <c r="X1" s="136"/>
      <c r="Y1" s="136" t="s">
        <v>294</v>
      </c>
      <c r="Z1" s="136"/>
      <c r="AA1" s="136" t="s">
        <v>295</v>
      </c>
      <c r="AB1" s="136"/>
      <c r="AC1" s="136" t="s">
        <v>299</v>
      </c>
      <c r="AD1" s="136"/>
      <c r="AE1" s="136" t="s">
        <v>301</v>
      </c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ht="15.75" thickBot="1" x14ac:dyDescent="0.3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SUM(D4:D34)</f>
        <v>832.49000000000012</v>
      </c>
      <c r="E3" s="14"/>
      <c r="F3" s="15">
        <f>SUM(F4:F34)</f>
        <v>524.47</v>
      </c>
      <c r="G3" s="14"/>
      <c r="H3" s="15">
        <f>SUM(H4:H34)</f>
        <v>1086.8900000000001</v>
      </c>
      <c r="I3" s="14"/>
      <c r="J3" s="15">
        <f>SUM(J4:J34)</f>
        <v>353.7</v>
      </c>
      <c r="K3" s="70"/>
      <c r="L3" s="70">
        <f>SUM(L4:L34)</f>
        <v>786.02</v>
      </c>
      <c r="M3" s="14"/>
      <c r="N3" s="15">
        <f>SUM(N4:N34)</f>
        <v>511.35000000000008</v>
      </c>
      <c r="O3" s="14"/>
      <c r="P3" s="15">
        <f>SUM(P4:P34)</f>
        <v>973.01</v>
      </c>
      <c r="Q3" s="14"/>
      <c r="R3" s="15">
        <f>SUM(R4:R34)</f>
        <v>516.9799999999999</v>
      </c>
      <c r="S3" s="14"/>
      <c r="T3" s="15">
        <f>SUM(T4:T34)</f>
        <v>274.26</v>
      </c>
      <c r="U3" s="14"/>
      <c r="V3" s="15">
        <f>SUM(V4:V34)</f>
        <v>498.95000000000005</v>
      </c>
      <c r="W3" s="14"/>
      <c r="X3" s="15">
        <f>SUM(X4:X34)</f>
        <v>967.27</v>
      </c>
      <c r="Y3" s="14"/>
      <c r="Z3" s="15">
        <f>SUM(Z4:Z34)</f>
        <v>323.99</v>
      </c>
      <c r="AA3" s="14"/>
      <c r="AB3" s="15">
        <f>SUM(AB4:AB34)</f>
        <v>618.62999999999988</v>
      </c>
      <c r="AC3" s="14"/>
      <c r="AD3" s="15">
        <f>SUM(AD4:AD34)</f>
        <v>693.5</v>
      </c>
      <c r="AE3" s="14"/>
      <c r="AF3" s="15">
        <f>SUM(AF4:AF34)</f>
        <v>483.45999999999992</v>
      </c>
      <c r="AG3" s="14"/>
      <c r="AH3" s="15">
        <f>SUM(AH4:AH34)</f>
        <v>0</v>
      </c>
      <c r="AI3" s="14"/>
      <c r="AJ3" s="15">
        <f>SUM(AJ4:AJ34)</f>
        <v>0</v>
      </c>
      <c r="AK3" s="14"/>
      <c r="AL3" s="15">
        <f>SUM(AL4:AL34)</f>
        <v>0</v>
      </c>
      <c r="AM3" s="14"/>
      <c r="AN3" s="15">
        <f>SUM(AN4:AN34)</f>
        <v>0</v>
      </c>
      <c r="AO3" s="14"/>
      <c r="AP3" s="15">
        <f>SUM(AP4:AP34)</f>
        <v>0</v>
      </c>
      <c r="AQ3" s="14"/>
      <c r="AR3" s="15">
        <f>SUM(AR4:AR34)</f>
        <v>0</v>
      </c>
      <c r="AS3" s="14"/>
      <c r="AT3" s="15">
        <f>SUM(AT4:AT34)</f>
        <v>0</v>
      </c>
      <c r="AU3" s="14"/>
      <c r="AV3" s="15">
        <f>SUM(AV4:AV34)</f>
        <v>0</v>
      </c>
      <c r="AX3" s="84">
        <f t="shared" ref="AX3:AX33" si="0">SUM(AV3,AT3,AR3,AP3,AN3,AL3,AJ3,AH3,AF3,AD3,AB3,Z3,X3,V3,T3,R3,P3,N3,L3,J3,H3,F3,D3)</f>
        <v>9444.9699999999993</v>
      </c>
      <c r="AY3" s="15">
        <f t="shared" ref="AY3:AY33" si="1">AX3/1.055</f>
        <v>8952.5781990521318</v>
      </c>
    </row>
    <row r="4" spans="1:51" x14ac:dyDescent="0.25">
      <c r="A4" s="19" t="s">
        <v>25</v>
      </c>
      <c r="B4" s="20" t="s">
        <v>26</v>
      </c>
      <c r="C4" s="21">
        <f>17+2*5+3*7+16+2+3*5</f>
        <v>81</v>
      </c>
      <c r="D4" s="125">
        <f>66.3+39+77+57.6+14.4+50</f>
        <v>304.3</v>
      </c>
      <c r="E4" s="21">
        <v>31</v>
      </c>
      <c r="F4" s="22">
        <v>114.7</v>
      </c>
      <c r="G4" s="21">
        <f>15+2*6+3*8</f>
        <v>51</v>
      </c>
      <c r="H4" s="22">
        <f>58.5+46.8+88</f>
        <v>193.3</v>
      </c>
      <c r="I4" s="21">
        <v>21</v>
      </c>
      <c r="J4" s="22">
        <v>77.7</v>
      </c>
      <c r="K4" s="72">
        <f>13+2*2+3*9</f>
        <v>44</v>
      </c>
      <c r="L4" s="102">
        <f>50.7+15.6+99</f>
        <v>165.3</v>
      </c>
      <c r="M4" s="21">
        <v>18</v>
      </c>
      <c r="N4" s="22">
        <v>66.599999999999994</v>
      </c>
      <c r="O4" s="21">
        <f>26+2*4+3*6</f>
        <v>52</v>
      </c>
      <c r="P4" s="22">
        <f>101.4+31.2+66</f>
        <v>198.6</v>
      </c>
      <c r="Q4" s="21">
        <f>10+2*2+3*2</f>
        <v>20</v>
      </c>
      <c r="R4" s="22">
        <f>39+15.6+22</f>
        <v>76.599999999999994</v>
      </c>
      <c r="S4" s="21">
        <v>12</v>
      </c>
      <c r="T4" s="22">
        <v>44.4</v>
      </c>
      <c r="U4" s="21">
        <v>25</v>
      </c>
      <c r="V4" s="22">
        <v>92.5</v>
      </c>
      <c r="W4" s="21">
        <f>19+2*6+3*4</f>
        <v>43</v>
      </c>
      <c r="X4" s="22">
        <f>74.1+46.8+44</f>
        <v>164.89999999999998</v>
      </c>
      <c r="Y4" s="21">
        <v>17</v>
      </c>
      <c r="Z4" s="22">
        <v>62.9</v>
      </c>
      <c r="AA4" s="21">
        <f>16+2*2+3*3</f>
        <v>29</v>
      </c>
      <c r="AB4" s="22">
        <f>62.4+15.6+33</f>
        <v>111</v>
      </c>
      <c r="AC4" s="21">
        <f>12+2*2+3*5</f>
        <v>31</v>
      </c>
      <c r="AD4" s="22">
        <f>46.8+15.6+55</f>
        <v>117.4</v>
      </c>
      <c r="AE4" s="21">
        <v>15</v>
      </c>
      <c r="AF4" s="22">
        <v>55.5</v>
      </c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1845.7</v>
      </c>
      <c r="AY4" s="22">
        <f t="shared" si="1"/>
        <v>1749.4786729857822</v>
      </c>
    </row>
    <row r="5" spans="1:51" x14ac:dyDescent="0.25">
      <c r="A5" s="19" t="s">
        <v>27</v>
      </c>
      <c r="B5" s="20" t="s">
        <v>26</v>
      </c>
      <c r="C5" s="21"/>
      <c r="D5" s="22"/>
      <c r="E5" s="21">
        <v>10</v>
      </c>
      <c r="F5" s="22">
        <v>34</v>
      </c>
      <c r="G5" s="21">
        <f>18+2*3+3*9</f>
        <v>51</v>
      </c>
      <c r="H5" s="22">
        <f>64.8+21.6+90</f>
        <v>176.4</v>
      </c>
      <c r="I5" s="21">
        <v>16</v>
      </c>
      <c r="J5" s="22">
        <v>54.4</v>
      </c>
      <c r="K5" s="72">
        <f>14+2*3+3*4</f>
        <v>32</v>
      </c>
      <c r="L5" s="102">
        <f>50.4+21.6+40</f>
        <v>112</v>
      </c>
      <c r="M5" s="21">
        <v>24</v>
      </c>
      <c r="N5" s="22">
        <v>81.599999999999994</v>
      </c>
      <c r="O5" s="21">
        <f>24+2*3+3*5</f>
        <v>45</v>
      </c>
      <c r="P5" s="22">
        <f>86.4+21.6+50</f>
        <v>158</v>
      </c>
      <c r="Q5" s="21">
        <f>10+2*2+3*2</f>
        <v>20</v>
      </c>
      <c r="R5" s="22">
        <f>36+14.4+20</f>
        <v>70.400000000000006</v>
      </c>
      <c r="S5" s="21">
        <v>14</v>
      </c>
      <c r="T5" s="22">
        <v>44.6</v>
      </c>
      <c r="U5" s="21">
        <v>17</v>
      </c>
      <c r="V5" s="22">
        <v>57.8</v>
      </c>
      <c r="W5" s="21">
        <f>22+2*2+3*9</f>
        <v>53</v>
      </c>
      <c r="X5">
        <f>79.2+14.4+90</f>
        <v>183.60000000000002</v>
      </c>
      <c r="Y5" s="21">
        <v>11</v>
      </c>
      <c r="Z5" s="22">
        <v>37.4</v>
      </c>
      <c r="AA5" s="21">
        <f>11+2*3+3*4</f>
        <v>29</v>
      </c>
      <c r="AB5" s="22">
        <f>39.6+21.6+40</f>
        <v>101.2</v>
      </c>
      <c r="AC5" s="21">
        <f>13+3*2+3*6</f>
        <v>37</v>
      </c>
      <c r="AD5" s="22">
        <f>39.67+21.6+60</f>
        <v>121.27000000000001</v>
      </c>
      <c r="AE5" s="21">
        <v>19</v>
      </c>
      <c r="AF5" s="22">
        <v>64.599999999999994</v>
      </c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1297.2700000000002</v>
      </c>
      <c r="AY5" s="22">
        <f t="shared" si="1"/>
        <v>1229.6398104265406</v>
      </c>
    </row>
    <row r="6" spans="1:51" x14ac:dyDescent="0.25">
      <c r="A6" s="19" t="s">
        <v>226</v>
      </c>
      <c r="B6" s="20" t="s">
        <v>26</v>
      </c>
      <c r="C6" s="21"/>
      <c r="D6" s="22"/>
      <c r="E6" s="21"/>
      <c r="F6" s="22"/>
      <c r="G6" s="21"/>
      <c r="H6" s="22"/>
      <c r="I6" s="21"/>
      <c r="J6" s="22"/>
      <c r="K6" s="72">
        <v>5</v>
      </c>
      <c r="L6" s="102">
        <v>17.5</v>
      </c>
      <c r="M6" s="21"/>
      <c r="N6" s="22"/>
      <c r="O6" s="21"/>
      <c r="P6" s="22"/>
      <c r="Q6" s="21">
        <f>5+3*3</f>
        <v>14</v>
      </c>
      <c r="R6" s="22">
        <f>17.5+30</f>
        <v>47.5</v>
      </c>
      <c r="S6" s="21"/>
      <c r="T6" s="22"/>
      <c r="U6" s="21"/>
      <c r="V6" s="22"/>
      <c r="W6" s="21">
        <v>4</v>
      </c>
      <c r="X6" s="22">
        <v>14</v>
      </c>
      <c r="Y6" s="21"/>
      <c r="Z6" s="22"/>
      <c r="AA6" s="21">
        <v>1</v>
      </c>
      <c r="AB6" s="22">
        <v>10</v>
      </c>
      <c r="AC6" s="21"/>
      <c r="AD6" s="22"/>
      <c r="AE6" s="21"/>
      <c r="AF6" s="22"/>
      <c r="AG6" s="21"/>
      <c r="AH6" s="22"/>
      <c r="AI6" s="72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89</v>
      </c>
      <c r="AY6" s="22">
        <f t="shared" si="1"/>
        <v>84.360189573459721</v>
      </c>
    </row>
    <row r="7" spans="1:51" x14ac:dyDescent="0.25">
      <c r="A7" s="19" t="s">
        <v>28</v>
      </c>
      <c r="B7" s="20" t="s">
        <v>26</v>
      </c>
      <c r="C7" s="21">
        <v>1</v>
      </c>
      <c r="D7" s="22">
        <v>10.5</v>
      </c>
      <c r="E7" s="21">
        <v>11</v>
      </c>
      <c r="F7" s="22">
        <v>73.5</v>
      </c>
      <c r="G7" s="21">
        <v>6</v>
      </c>
      <c r="H7" s="22">
        <v>63</v>
      </c>
      <c r="I7" s="21">
        <v>6</v>
      </c>
      <c r="J7" s="22">
        <f>21+26</f>
        <v>47</v>
      </c>
      <c r="K7" s="72">
        <v>4</v>
      </c>
      <c r="L7" s="102">
        <v>42</v>
      </c>
      <c r="M7" s="21">
        <v>16</v>
      </c>
      <c r="N7" s="22">
        <v>64</v>
      </c>
      <c r="O7" s="21">
        <v>2</v>
      </c>
      <c r="P7" s="22">
        <v>21</v>
      </c>
      <c r="Q7" s="21">
        <v>1</v>
      </c>
      <c r="R7" s="22">
        <v>10.5</v>
      </c>
      <c r="S7" s="21">
        <v>2</v>
      </c>
      <c r="T7" s="22">
        <v>7</v>
      </c>
      <c r="U7" s="21">
        <v>24</v>
      </c>
      <c r="V7" s="22">
        <v>84</v>
      </c>
      <c r="W7" s="21">
        <v>3</v>
      </c>
      <c r="X7" s="22">
        <v>31.5</v>
      </c>
      <c r="Y7" s="21">
        <v>13</v>
      </c>
      <c r="Z7" s="22">
        <f>45.5+20</f>
        <v>65.5</v>
      </c>
      <c r="AA7" s="21">
        <v>1</v>
      </c>
      <c r="AB7" s="22">
        <v>3.3</v>
      </c>
      <c r="AC7" s="21">
        <v>3</v>
      </c>
      <c r="AD7" s="22">
        <v>31.5</v>
      </c>
      <c r="AE7" s="21">
        <v>14</v>
      </c>
      <c r="AF7" s="22">
        <v>49</v>
      </c>
      <c r="AG7" s="21"/>
      <c r="AH7" s="22"/>
      <c r="AI7" s="24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603.29999999999995</v>
      </c>
      <c r="AY7" s="22">
        <f t="shared" si="1"/>
        <v>571.84834123222743</v>
      </c>
    </row>
    <row r="8" spans="1:51" x14ac:dyDescent="0.25">
      <c r="A8" s="19" t="s">
        <v>29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10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102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72"/>
      <c r="L9" s="102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104</v>
      </c>
      <c r="B10" s="20" t="s">
        <v>26</v>
      </c>
      <c r="C10" s="21"/>
      <c r="D10" s="22"/>
      <c r="E10" s="21"/>
      <c r="F10" s="22"/>
      <c r="G10" s="21"/>
      <c r="H10" s="22"/>
      <c r="I10" s="21"/>
      <c r="J10" s="22"/>
      <c r="K10" s="123"/>
      <c r="L10" s="10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0</v>
      </c>
      <c r="AY10" s="22">
        <f t="shared" si="1"/>
        <v>0</v>
      </c>
    </row>
    <row r="11" spans="1:51" x14ac:dyDescent="0.25">
      <c r="A11" s="19" t="s">
        <v>31</v>
      </c>
      <c r="B11" s="20" t="s">
        <v>26</v>
      </c>
      <c r="C11" s="21">
        <v>15</v>
      </c>
      <c r="D11" s="22">
        <v>52.5</v>
      </c>
      <c r="E11" s="21">
        <v>2</v>
      </c>
      <c r="F11" s="22">
        <v>21</v>
      </c>
      <c r="G11" s="21">
        <v>11</v>
      </c>
      <c r="H11" s="22">
        <v>38.5</v>
      </c>
      <c r="I11" s="21">
        <v>3</v>
      </c>
      <c r="J11" s="22">
        <v>10.5</v>
      </c>
      <c r="K11" s="72">
        <v>7</v>
      </c>
      <c r="L11" s="102">
        <v>24.5</v>
      </c>
      <c r="M11" s="21">
        <v>6</v>
      </c>
      <c r="N11" s="22">
        <v>21</v>
      </c>
      <c r="O11" s="21">
        <v>33</v>
      </c>
      <c r="P11" s="22">
        <v>115.5</v>
      </c>
      <c r="Q11" s="21">
        <v>11</v>
      </c>
      <c r="R11" s="22">
        <v>38.5</v>
      </c>
      <c r="S11" s="21">
        <v>7</v>
      </c>
      <c r="T11" s="22">
        <v>24.5</v>
      </c>
      <c r="U11" s="21">
        <v>12</v>
      </c>
      <c r="V11" s="22">
        <v>42</v>
      </c>
      <c r="W11" s="21">
        <v>4</v>
      </c>
      <c r="X11" s="22">
        <v>14</v>
      </c>
      <c r="Y11" s="21">
        <v>9</v>
      </c>
      <c r="Z11" s="22">
        <f>31.5+16</f>
        <v>47.5</v>
      </c>
      <c r="AA11" s="21">
        <v>9</v>
      </c>
      <c r="AB11" s="22">
        <v>31.5</v>
      </c>
      <c r="AC11" s="21">
        <v>14</v>
      </c>
      <c r="AD11" s="22">
        <v>49</v>
      </c>
      <c r="AE11" s="21">
        <v>10</v>
      </c>
      <c r="AF11" s="22">
        <v>35</v>
      </c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565.5</v>
      </c>
      <c r="AY11" s="22">
        <f t="shared" si="1"/>
        <v>536.01895734597156</v>
      </c>
    </row>
    <row r="12" spans="1:51" x14ac:dyDescent="0.25">
      <c r="A12" s="19" t="s">
        <v>103</v>
      </c>
      <c r="B12" s="20" t="s">
        <v>26</v>
      </c>
      <c r="C12" s="21"/>
      <c r="D12" s="22"/>
      <c r="E12" s="21"/>
      <c r="F12" s="22"/>
      <c r="G12" s="21"/>
      <c r="H12" s="22"/>
      <c r="I12" s="21"/>
      <c r="J12" s="22"/>
      <c r="K12" s="72"/>
      <c r="L12" s="102"/>
      <c r="M12" s="21"/>
      <c r="N12" s="22"/>
      <c r="O12" s="21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0</v>
      </c>
      <c r="AY12" s="22">
        <f t="shared" si="1"/>
        <v>0</v>
      </c>
    </row>
    <row r="13" spans="1:51" x14ac:dyDescent="0.25">
      <c r="A13" s="19" t="s">
        <v>32</v>
      </c>
      <c r="B13" s="20" t="s">
        <v>106</v>
      </c>
      <c r="C13" s="21"/>
      <c r="D13" s="22"/>
      <c r="E13" s="21"/>
      <c r="F13" s="22"/>
      <c r="G13" s="21"/>
      <c r="H13" s="22"/>
      <c r="I13" s="21"/>
      <c r="J13" s="22"/>
      <c r="K13" s="85"/>
      <c r="L13" s="102"/>
      <c r="M13" s="21"/>
      <c r="N13" s="22"/>
      <c r="O13" s="25"/>
      <c r="P13" s="22"/>
      <c r="Q13" s="21"/>
      <c r="R13" s="22"/>
      <c r="S13" s="99"/>
      <c r="T13" s="22"/>
      <c r="U13" s="99"/>
      <c r="V13" s="22"/>
      <c r="W13" s="99"/>
      <c r="X13" s="22"/>
      <c r="Y13" s="99"/>
      <c r="Z13" s="22"/>
      <c r="AA13" s="99"/>
      <c r="AB13" s="22"/>
      <c r="AC13" s="100"/>
      <c r="AD13" s="22"/>
      <c r="AE13" s="99"/>
      <c r="AF13" s="22"/>
      <c r="AG13" s="21"/>
      <c r="AH13" s="22"/>
      <c r="AI13" s="21"/>
      <c r="AJ13" s="22"/>
      <c r="AK13" s="21"/>
      <c r="AL13" s="22"/>
      <c r="AM13" s="21"/>
      <c r="AN13" s="22"/>
      <c r="AO13" s="21"/>
      <c r="AP13" s="22"/>
      <c r="AQ13" s="21"/>
      <c r="AR13" s="22"/>
      <c r="AS13" s="21"/>
      <c r="AT13" s="22"/>
      <c r="AU13" s="21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107</v>
      </c>
      <c r="B14" s="20" t="s">
        <v>34</v>
      </c>
      <c r="C14" s="21"/>
      <c r="D14" s="22"/>
      <c r="E14" s="21"/>
      <c r="F14" s="22"/>
      <c r="G14" s="21"/>
      <c r="H14" s="22"/>
      <c r="I14" s="21"/>
      <c r="J14" s="22"/>
      <c r="K14" s="85"/>
      <c r="L14" s="102"/>
      <c r="M14" s="21"/>
      <c r="N14" s="22"/>
      <c r="O14" s="25"/>
      <c r="P14" s="22"/>
      <c r="Q14" s="25"/>
      <c r="R14" s="22"/>
      <c r="S14" s="25"/>
      <c r="T14" s="22"/>
      <c r="U14" s="99"/>
      <c r="V14" s="22"/>
      <c r="W14" s="99"/>
      <c r="X14" s="22"/>
      <c r="Y14" s="99"/>
      <c r="Z14" s="22"/>
      <c r="AA14" s="99"/>
      <c r="AB14" s="22"/>
      <c r="AC14" s="100"/>
      <c r="AD14" s="22"/>
      <c r="AE14" s="99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108</v>
      </c>
      <c r="B15" s="20" t="s">
        <v>109</v>
      </c>
      <c r="C15" s="21"/>
      <c r="D15" s="22"/>
      <c r="E15" s="21"/>
      <c r="F15" s="22"/>
      <c r="G15" s="21"/>
      <c r="H15" s="22"/>
      <c r="I15" s="25"/>
      <c r="J15" s="22"/>
      <c r="K15" s="85"/>
      <c r="L15" s="102"/>
      <c r="M15" s="21"/>
      <c r="N15" s="22"/>
      <c r="O15" s="21"/>
      <c r="P15" s="22"/>
      <c r="Q15" s="25"/>
      <c r="R15" s="22"/>
      <c r="S15" s="25"/>
      <c r="T15" s="22"/>
      <c r="U15" s="25"/>
      <c r="V15" s="22"/>
      <c r="W15" s="21"/>
      <c r="X15" s="22"/>
      <c r="Y15" s="21"/>
      <c r="Z15" s="22"/>
      <c r="AA15" s="25"/>
      <c r="AB15" s="22"/>
      <c r="AC15" s="21"/>
      <c r="AD15" s="22"/>
      <c r="AE15" s="21"/>
      <c r="AF15" s="22"/>
      <c r="AG15" s="25"/>
      <c r="AH15" s="22"/>
      <c r="AI15" s="21"/>
      <c r="AJ15" s="22"/>
      <c r="AK15" s="25"/>
      <c r="AL15" s="22"/>
      <c r="AM15" s="21"/>
      <c r="AN15" s="22"/>
      <c r="AO15" s="25"/>
      <c r="AP15" s="22"/>
      <c r="AQ15" s="21"/>
      <c r="AR15" s="22"/>
      <c r="AS15" s="21"/>
      <c r="AT15" s="22"/>
      <c r="AU15" s="25"/>
      <c r="AV15" s="22"/>
      <c r="AW15"/>
      <c r="AX15" s="74">
        <f t="shared" si="0"/>
        <v>0</v>
      </c>
      <c r="AY15" s="22">
        <f t="shared" si="1"/>
        <v>0</v>
      </c>
    </row>
    <row r="16" spans="1:51" x14ac:dyDescent="0.25">
      <c r="A16" s="19" t="s">
        <v>33</v>
      </c>
      <c r="B16" s="20" t="s">
        <v>34</v>
      </c>
      <c r="C16" s="25">
        <v>1.53</v>
      </c>
      <c r="D16" s="22">
        <v>11.48</v>
      </c>
      <c r="E16" s="25"/>
      <c r="F16" s="22"/>
      <c r="G16" s="25">
        <v>1.1599999999999999</v>
      </c>
      <c r="H16" s="22">
        <v>8.7200000000000006</v>
      </c>
      <c r="I16" s="25"/>
      <c r="J16" s="22"/>
      <c r="K16" s="85">
        <v>0.47</v>
      </c>
      <c r="L16" s="102">
        <v>3.53</v>
      </c>
      <c r="M16" s="25"/>
      <c r="N16" s="22"/>
      <c r="O16" s="25"/>
      <c r="P16" s="22"/>
      <c r="Q16" s="25">
        <v>0.13500000000000001</v>
      </c>
      <c r="R16" s="22">
        <v>1.01</v>
      </c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>
        <v>0.5</v>
      </c>
      <c r="AD16" s="22">
        <f>3.8</f>
        <v>3.8</v>
      </c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28.540000000000003</v>
      </c>
      <c r="AY16" s="22">
        <f t="shared" si="1"/>
        <v>27.052132701421804</v>
      </c>
    </row>
    <row r="17" spans="1:51" x14ac:dyDescent="0.25">
      <c r="A17" s="19" t="s">
        <v>35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102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36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102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>
        <v>7.23</v>
      </c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7.23</v>
      </c>
      <c r="AY18" s="22">
        <f t="shared" si="1"/>
        <v>6.8530805687203795</v>
      </c>
    </row>
    <row r="19" spans="1:51" x14ac:dyDescent="0.25">
      <c r="A19" s="19" t="s">
        <v>37</v>
      </c>
      <c r="B19" s="20" t="s">
        <v>34</v>
      </c>
      <c r="C19" s="25">
        <v>7.27</v>
      </c>
      <c r="D19" s="22">
        <v>32.729999999999997</v>
      </c>
      <c r="E19" s="25"/>
      <c r="F19" s="22">
        <v>1.65</v>
      </c>
      <c r="G19" s="25">
        <v>7.2850000000000001</v>
      </c>
      <c r="H19" s="22">
        <v>32.799999999999997</v>
      </c>
      <c r="I19" s="25"/>
      <c r="J19" s="22">
        <v>7.41</v>
      </c>
      <c r="K19" s="85">
        <v>6.05</v>
      </c>
      <c r="L19" s="102">
        <v>27.23</v>
      </c>
      <c r="M19" s="25"/>
      <c r="N19" s="22">
        <v>8.08</v>
      </c>
      <c r="O19" s="25">
        <v>3.4649999999999999</v>
      </c>
      <c r="P19" s="22">
        <v>15.6</v>
      </c>
      <c r="Q19" s="25">
        <v>4.0599999999999996</v>
      </c>
      <c r="R19" s="22">
        <v>18.28</v>
      </c>
      <c r="S19" s="25"/>
      <c r="T19" s="22">
        <v>7.56</v>
      </c>
      <c r="U19" s="25"/>
      <c r="V19" s="22">
        <v>16.989999999999998</v>
      </c>
      <c r="W19" s="25">
        <v>14.175000000000001</v>
      </c>
      <c r="X19" s="22">
        <v>63.82</v>
      </c>
      <c r="Y19" s="25"/>
      <c r="Z19" s="22">
        <v>3.75</v>
      </c>
      <c r="AA19" s="25">
        <v>11.585000000000001</v>
      </c>
      <c r="AB19" s="22">
        <v>52.15</v>
      </c>
      <c r="AC19" s="25"/>
      <c r="AD19" s="22"/>
      <c r="AE19" s="25"/>
      <c r="AF19" s="22">
        <f>13.53+20</f>
        <v>33.53</v>
      </c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321.58</v>
      </c>
      <c r="AY19" s="22">
        <f t="shared" si="1"/>
        <v>304.81516587677726</v>
      </c>
    </row>
    <row r="20" spans="1:51" x14ac:dyDescent="0.25">
      <c r="A20" s="19" t="s">
        <v>38</v>
      </c>
      <c r="B20" s="20" t="s">
        <v>34</v>
      </c>
      <c r="C20" s="25">
        <v>16.184999999999999</v>
      </c>
      <c r="D20" s="22">
        <v>63.16</v>
      </c>
      <c r="E20" s="25"/>
      <c r="F20" s="22">
        <f>31.04+48</f>
        <v>79.039999999999992</v>
      </c>
      <c r="G20" s="25">
        <v>22.315000000000001</v>
      </c>
      <c r="H20" s="22">
        <v>87.03</v>
      </c>
      <c r="I20" s="25"/>
      <c r="J20" s="22">
        <v>5.46</v>
      </c>
      <c r="K20" s="85">
        <v>22.515000000000001</v>
      </c>
      <c r="L20" s="102">
        <v>87.82</v>
      </c>
      <c r="M20" s="25"/>
      <c r="N20" s="22">
        <v>36.49</v>
      </c>
      <c r="O20" s="25">
        <v>24.254999999999999</v>
      </c>
      <c r="P20" s="22">
        <v>94.63</v>
      </c>
      <c r="Q20" s="25">
        <v>15.41</v>
      </c>
      <c r="R20" s="22">
        <v>60.11</v>
      </c>
      <c r="S20" s="25"/>
      <c r="T20" s="22">
        <v>14.26</v>
      </c>
      <c r="U20" s="25"/>
      <c r="V20" s="22">
        <v>17.489999999999998</v>
      </c>
      <c r="W20" s="25">
        <v>33.015000000000001</v>
      </c>
      <c r="X20" s="22">
        <v>128.80000000000001</v>
      </c>
      <c r="Y20" s="25"/>
      <c r="Z20" s="22">
        <v>8.74</v>
      </c>
      <c r="AA20" s="25">
        <v>20.414999999999999</v>
      </c>
      <c r="AB20" s="22">
        <v>79.63</v>
      </c>
      <c r="AC20" s="25">
        <v>14.85</v>
      </c>
      <c r="AD20" s="22">
        <v>57.93</v>
      </c>
      <c r="AE20" s="25"/>
      <c r="AF20" s="22">
        <f>20.96+24</f>
        <v>44.96</v>
      </c>
      <c r="AG20" s="25"/>
      <c r="AH20" s="22"/>
      <c r="AI20" s="25"/>
      <c r="AJ20" s="22"/>
      <c r="AK20" s="25"/>
      <c r="AL20" s="22"/>
      <c r="AM20" s="25"/>
      <c r="AN20" s="22"/>
      <c r="AO20" s="25"/>
      <c r="AP20" s="22"/>
      <c r="AQ20" s="25"/>
      <c r="AR20" s="22"/>
      <c r="AS20" s="25"/>
      <c r="AT20" s="22"/>
      <c r="AU20" s="25"/>
      <c r="AV20" s="22"/>
      <c r="AW20"/>
      <c r="AX20" s="74">
        <f t="shared" si="0"/>
        <v>865.54999999999984</v>
      </c>
      <c r="AY20" s="22">
        <f t="shared" si="1"/>
        <v>820.42654028436004</v>
      </c>
    </row>
    <row r="21" spans="1:51" x14ac:dyDescent="0.25">
      <c r="A21" s="19" t="s">
        <v>39</v>
      </c>
      <c r="B21" s="20" t="s">
        <v>34</v>
      </c>
      <c r="C21">
        <v>36.284999999999997</v>
      </c>
      <c r="D21" s="22">
        <v>210.48</v>
      </c>
      <c r="E21"/>
      <c r="F21" s="22">
        <v>154.34</v>
      </c>
      <c r="G21">
        <v>51.295000000000002</v>
      </c>
      <c r="H21" s="22">
        <v>297.5</v>
      </c>
      <c r="I21"/>
      <c r="J21" s="22">
        <v>126.84</v>
      </c>
      <c r="K21" s="85">
        <v>28.835000000000001</v>
      </c>
      <c r="L21" s="22">
        <v>167.26</v>
      </c>
      <c r="M21"/>
      <c r="N21" s="22">
        <f>121.17+21</f>
        <v>142.17000000000002</v>
      </c>
      <c r="O21" s="127">
        <v>16.57</v>
      </c>
      <c r="P21" s="22">
        <v>96.11</v>
      </c>
      <c r="Q21" s="25">
        <v>10.395</v>
      </c>
      <c r="R21" s="22">
        <v>60.28</v>
      </c>
      <c r="S21"/>
      <c r="T21" s="22">
        <v>59.37</v>
      </c>
      <c r="U21"/>
      <c r="V21" s="22">
        <f>99.89</f>
        <v>99.89</v>
      </c>
      <c r="W21">
        <v>16.43</v>
      </c>
      <c r="X21" s="22">
        <v>95.32</v>
      </c>
      <c r="Y21"/>
      <c r="Z21" s="22">
        <v>56.27</v>
      </c>
      <c r="AA21">
        <v>15.355</v>
      </c>
      <c r="AB21" s="22">
        <f>89.07+33</f>
        <v>122.07</v>
      </c>
      <c r="AC21">
        <v>17.59</v>
      </c>
      <c r="AD21" s="22">
        <v>102.06</v>
      </c>
      <c r="AE21"/>
      <c r="AF21" s="22">
        <v>84.5</v>
      </c>
      <c r="AG21"/>
      <c r="AH21" s="22"/>
      <c r="AI21"/>
      <c r="AJ21" s="22"/>
      <c r="AK21"/>
      <c r="AL21" s="22"/>
      <c r="AM21"/>
      <c r="AN21" s="22"/>
      <c r="AO21"/>
      <c r="AP21" s="22"/>
      <c r="AQ21"/>
      <c r="AR21" s="22"/>
      <c r="AS21"/>
      <c r="AT21" s="22"/>
      <c r="AU21"/>
      <c r="AV21" s="22"/>
      <c r="AW21"/>
      <c r="AX21" s="74">
        <f t="shared" si="0"/>
        <v>1874.4599999999998</v>
      </c>
      <c r="AY21" s="22">
        <f t="shared" si="1"/>
        <v>1776.739336492891</v>
      </c>
    </row>
    <row r="22" spans="1:51" x14ac:dyDescent="0.25">
      <c r="A22" s="19" t="s">
        <v>40</v>
      </c>
      <c r="B22" s="20" t="s">
        <v>34</v>
      </c>
      <c r="C22" s="25"/>
      <c r="D22" s="22"/>
      <c r="E22" s="25"/>
      <c r="F22" s="22">
        <v>4.6399999999999997</v>
      </c>
      <c r="G22" s="25"/>
      <c r="H22" s="22"/>
      <c r="I22" s="25"/>
      <c r="J22" s="22">
        <v>4.57</v>
      </c>
      <c r="K22" s="85"/>
      <c r="L22" s="102"/>
      <c r="M22" s="25"/>
      <c r="N22" s="22">
        <v>13.31</v>
      </c>
      <c r="O22" s="25">
        <v>11.005000000000001</v>
      </c>
      <c r="P22" s="22">
        <v>49.54</v>
      </c>
      <c r="Q22" s="25">
        <v>2.56</v>
      </c>
      <c r="R22" s="22">
        <v>11.52</v>
      </c>
      <c r="S22" s="25"/>
      <c r="T22" s="22">
        <v>10.01</v>
      </c>
      <c r="U22" s="25"/>
      <c r="V22" s="22">
        <v>18.22</v>
      </c>
      <c r="W22" s="25">
        <v>10.965</v>
      </c>
      <c r="X22" s="22">
        <v>49.36</v>
      </c>
      <c r="Y22" s="25"/>
      <c r="Z22" s="22">
        <v>8.98</v>
      </c>
      <c r="AA22" s="25">
        <v>4.97</v>
      </c>
      <c r="AB22" s="22">
        <v>22.38</v>
      </c>
      <c r="AC22" s="25">
        <v>11.433999999999999</v>
      </c>
      <c r="AD22" s="22">
        <v>51.5</v>
      </c>
      <c r="AE22" s="25"/>
      <c r="AF22" s="22">
        <v>21.09</v>
      </c>
      <c r="AG22" s="25"/>
      <c r="AH22" s="22"/>
      <c r="AI22" s="25"/>
      <c r="AJ22" s="22"/>
      <c r="AK22" s="25"/>
      <c r="AL22" s="22"/>
      <c r="AM22" s="25"/>
      <c r="AN22" s="22"/>
      <c r="AO22" s="25"/>
      <c r="AP22" s="22"/>
      <c r="AQ22" s="25"/>
      <c r="AR22" s="22"/>
      <c r="AS22" s="25"/>
      <c r="AT22" s="22"/>
      <c r="AU22" s="25"/>
      <c r="AV22" s="22"/>
      <c r="AW22"/>
      <c r="AX22" s="74">
        <f t="shared" si="0"/>
        <v>265.12</v>
      </c>
      <c r="AY22" s="22">
        <f t="shared" si="1"/>
        <v>251.29857819905214</v>
      </c>
    </row>
    <row r="23" spans="1:51" x14ac:dyDescent="0.25">
      <c r="A23" s="19" t="s">
        <v>30</v>
      </c>
      <c r="B23" s="20" t="s">
        <v>26</v>
      </c>
      <c r="C23" s="21">
        <v>12</v>
      </c>
      <c r="D23" s="22">
        <v>34.799999999999997</v>
      </c>
      <c r="E23" s="21">
        <v>4</v>
      </c>
      <c r="F23" s="22">
        <v>11.6</v>
      </c>
      <c r="G23" s="21">
        <v>18</v>
      </c>
      <c r="H23" s="22">
        <v>52.2</v>
      </c>
      <c r="I23" s="21">
        <v>7</v>
      </c>
      <c r="J23" s="22">
        <v>8.6999999999999993</v>
      </c>
      <c r="K23" s="72">
        <v>4</v>
      </c>
      <c r="L23" s="102">
        <v>11.6</v>
      </c>
      <c r="M23" s="21">
        <v>10</v>
      </c>
      <c r="N23" s="22">
        <v>26.1</v>
      </c>
      <c r="O23" s="21">
        <v>19</v>
      </c>
      <c r="P23" s="22">
        <v>55.1</v>
      </c>
      <c r="Q23" s="21">
        <v>5</v>
      </c>
      <c r="R23" s="22">
        <v>14.5</v>
      </c>
      <c r="S23" s="21">
        <v>5</v>
      </c>
      <c r="T23" s="22">
        <v>14.5</v>
      </c>
      <c r="U23" s="21">
        <v>5</v>
      </c>
      <c r="V23" s="22">
        <v>14.5</v>
      </c>
      <c r="W23" s="21">
        <v>20</v>
      </c>
      <c r="X23" s="22">
        <v>58</v>
      </c>
      <c r="Y23" s="21">
        <v>4</v>
      </c>
      <c r="Z23" s="22">
        <v>11.6</v>
      </c>
      <c r="AA23" s="21">
        <v>7</v>
      </c>
      <c r="AB23" s="22">
        <v>20.3</v>
      </c>
      <c r="AC23" s="21">
        <v>4</v>
      </c>
      <c r="AD23" s="22">
        <v>11.6</v>
      </c>
      <c r="AE23" s="21">
        <v>6</v>
      </c>
      <c r="AF23" s="22">
        <v>17.399999999999999</v>
      </c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362.5</v>
      </c>
      <c r="AY23" s="22">
        <f t="shared" si="1"/>
        <v>343.60189573459718</v>
      </c>
    </row>
    <row r="24" spans="1:51" x14ac:dyDescent="0.25">
      <c r="A24" s="19" t="s">
        <v>105</v>
      </c>
      <c r="B24" s="20" t="s">
        <v>26</v>
      </c>
      <c r="C24" s="21"/>
      <c r="D24" s="22"/>
      <c r="E24" s="21"/>
      <c r="F24" s="22"/>
      <c r="G24" s="21"/>
      <c r="H24" s="22"/>
      <c r="I24" s="21"/>
      <c r="J24" s="22"/>
      <c r="K24" s="85"/>
      <c r="L24" s="102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2"/>
      <c r="AO24" s="21"/>
      <c r="AP24" s="22"/>
      <c r="AQ24" s="21"/>
      <c r="AR24" s="22"/>
      <c r="AS24" s="21"/>
      <c r="AT24" s="22"/>
      <c r="AU24" s="21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41</v>
      </c>
      <c r="B25" s="20" t="s">
        <v>34</v>
      </c>
      <c r="C25" s="25">
        <v>6.3849999999999998</v>
      </c>
      <c r="D25" s="22">
        <v>37.69</v>
      </c>
      <c r="E25" s="25"/>
      <c r="F25" s="22">
        <v>22.46</v>
      </c>
      <c r="G25" s="25">
        <v>12.455</v>
      </c>
      <c r="H25" s="22">
        <v>73.5</v>
      </c>
      <c r="I25" s="25"/>
      <c r="J25" s="22">
        <v>2.0299999999999998</v>
      </c>
      <c r="K25" s="85">
        <v>4.08</v>
      </c>
      <c r="L25" s="102">
        <f>24.08+21</f>
        <v>45.08</v>
      </c>
      <c r="M25" s="25"/>
      <c r="N25" s="22">
        <v>23.66</v>
      </c>
      <c r="O25" s="25">
        <v>16.54</v>
      </c>
      <c r="P25" s="22">
        <v>97.61</v>
      </c>
      <c r="Q25" s="25">
        <v>4.99</v>
      </c>
      <c r="R25" s="22">
        <f>29.44+7</f>
        <v>36.44</v>
      </c>
      <c r="S25" s="25"/>
      <c r="T25" s="22">
        <v>10.039999999999999</v>
      </c>
      <c r="U25" s="25"/>
      <c r="V25" s="22">
        <v>20.72</v>
      </c>
      <c r="W25" s="25">
        <v>12.8</v>
      </c>
      <c r="X25" s="22">
        <f>75.54+26</f>
        <v>101.54</v>
      </c>
      <c r="Y25" s="25"/>
      <c r="Z25" s="22">
        <v>9.9</v>
      </c>
      <c r="AA25" s="25">
        <v>5.5750000000000002</v>
      </c>
      <c r="AB25" s="22">
        <v>32.9</v>
      </c>
      <c r="AC25" s="25">
        <v>12.925000000000001</v>
      </c>
      <c r="AD25" s="22">
        <v>77.290000000000006</v>
      </c>
      <c r="AE25" s="25"/>
      <c r="AF25" s="22">
        <v>39.549999999999997</v>
      </c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630.41000000000008</v>
      </c>
      <c r="AY25" s="22">
        <f t="shared" si="1"/>
        <v>597.54502369668262</v>
      </c>
    </row>
    <row r="26" spans="1:51" x14ac:dyDescent="0.25">
      <c r="A26" s="19" t="s">
        <v>42</v>
      </c>
      <c r="B26" s="20" t="s">
        <v>34</v>
      </c>
      <c r="C26" s="25"/>
      <c r="D26" s="22">
        <f>33.85+41</f>
        <v>74.849999999999994</v>
      </c>
      <c r="E26" s="25"/>
      <c r="F26" s="22">
        <v>2.5099999999999998</v>
      </c>
      <c r="G26" s="25"/>
      <c r="H26" s="22"/>
      <c r="I26" s="25"/>
      <c r="J26" s="22">
        <v>5.49</v>
      </c>
      <c r="K26" s="85">
        <v>7.91</v>
      </c>
      <c r="L26" s="102">
        <f>22.94+40</f>
        <v>62.94</v>
      </c>
      <c r="M26" s="25"/>
      <c r="N26" s="22">
        <v>8.35</v>
      </c>
      <c r="O26" s="25">
        <v>12.385</v>
      </c>
      <c r="P26" s="22">
        <v>35.909999999999997</v>
      </c>
      <c r="Q26" s="25">
        <v>15.715</v>
      </c>
      <c r="R26" s="22">
        <v>45.58</v>
      </c>
      <c r="S26" s="25"/>
      <c r="T26" s="22">
        <v>13.35</v>
      </c>
      <c r="U26" s="25"/>
      <c r="V26" s="22">
        <v>14.1</v>
      </c>
      <c r="W26" s="25">
        <v>14.44</v>
      </c>
      <c r="X26" s="22">
        <v>41.9</v>
      </c>
      <c r="Y26" s="25"/>
      <c r="Z26" s="22">
        <v>8.61</v>
      </c>
      <c r="AA26" s="25">
        <v>8.3800000000000008</v>
      </c>
      <c r="AB26" s="22">
        <v>24.31</v>
      </c>
      <c r="AC26" s="25">
        <v>7.96</v>
      </c>
      <c r="AD26" s="22">
        <v>23.09</v>
      </c>
      <c r="AE26" s="25"/>
      <c r="AF26" s="22">
        <v>8.9600000000000009</v>
      </c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369.94999999999993</v>
      </c>
      <c r="AY26" s="22">
        <f t="shared" si="1"/>
        <v>350.66350710900468</v>
      </c>
    </row>
    <row r="27" spans="1:51" x14ac:dyDescent="0.25">
      <c r="A27" s="19" t="s">
        <v>43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>
        <v>3.6</v>
      </c>
      <c r="K27" s="85">
        <v>6.6349999999999998</v>
      </c>
      <c r="L27" s="102">
        <v>19.260000000000002</v>
      </c>
      <c r="M27" s="25"/>
      <c r="N27" s="22">
        <v>19.989999999999998</v>
      </c>
      <c r="O27" s="25">
        <v>12.18</v>
      </c>
      <c r="P27" s="22">
        <v>35.409999999999997</v>
      </c>
      <c r="Q27" s="25">
        <v>4.74</v>
      </c>
      <c r="R27" s="22">
        <f>13.76+12</f>
        <v>25.759999999999998</v>
      </c>
      <c r="S27" s="25"/>
      <c r="T27" s="22">
        <v>20.92</v>
      </c>
      <c r="U27" s="25"/>
      <c r="V27" s="22">
        <v>14.72</v>
      </c>
      <c r="W27" s="25">
        <v>7.0750000000000002</v>
      </c>
      <c r="X27" s="22">
        <v>20.53</v>
      </c>
      <c r="Y27" s="25"/>
      <c r="Z27" s="22">
        <v>2.84</v>
      </c>
      <c r="AA27" s="25">
        <v>2.72</v>
      </c>
      <c r="AB27" s="22">
        <v>7.89</v>
      </c>
      <c r="AC27" s="25">
        <v>16.22</v>
      </c>
      <c r="AD27" s="22">
        <v>47.06</v>
      </c>
      <c r="AE27" s="25"/>
      <c r="AF27" s="22">
        <v>20.11</v>
      </c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238.08999999999997</v>
      </c>
      <c r="AY27" s="22">
        <f t="shared" si="1"/>
        <v>225.67772511848341</v>
      </c>
    </row>
    <row r="28" spans="1:51" x14ac:dyDescent="0.25">
      <c r="A28" s="19" t="s">
        <v>44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102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179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102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180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85"/>
      <c r="L30" s="102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0</v>
      </c>
      <c r="AY30" s="22">
        <f t="shared" si="1"/>
        <v>0</v>
      </c>
    </row>
    <row r="31" spans="1:51" x14ac:dyDescent="0.25">
      <c r="A31" s="19" t="s">
        <v>191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85"/>
      <c r="L31" s="102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1" x14ac:dyDescent="0.25">
      <c r="A32" s="19" t="s">
        <v>201</v>
      </c>
      <c r="B32" s="20" t="s">
        <v>26</v>
      </c>
      <c r="C32" s="25"/>
      <c r="D32" s="22"/>
      <c r="E32" s="25"/>
      <c r="F32" s="22"/>
      <c r="G32" s="21"/>
      <c r="H32" s="22"/>
      <c r="I32" s="25"/>
      <c r="J32" s="22"/>
      <c r="K32" s="85"/>
      <c r="L32" s="102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0</v>
      </c>
      <c r="AY32" s="22">
        <f t="shared" si="1"/>
        <v>0</v>
      </c>
    </row>
    <row r="33" spans="1:52" x14ac:dyDescent="0.25">
      <c r="A33" s="19" t="s">
        <v>264</v>
      </c>
      <c r="B33" s="20"/>
      <c r="C33" s="25"/>
      <c r="D33" s="22"/>
      <c r="E33" s="25"/>
      <c r="F33" s="22"/>
      <c r="G33" s="21"/>
      <c r="H33" s="22"/>
      <c r="I33" s="25"/>
      <c r="J33" s="22"/>
      <c r="K33" s="85"/>
      <c r="L33" s="102"/>
      <c r="M33" s="25"/>
      <c r="N33" s="22"/>
      <c r="O33" s="25"/>
      <c r="P33" s="22"/>
      <c r="Q33" s="25"/>
      <c r="R33" s="22"/>
      <c r="S33" s="25"/>
      <c r="T33" s="22"/>
      <c r="U33" s="25"/>
      <c r="V33" s="22"/>
      <c r="W33" s="25"/>
      <c r="X33" s="22"/>
      <c r="Y33" s="25"/>
      <c r="Z33" s="22"/>
      <c r="AA33" s="25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U33" s="25"/>
      <c r="AV33" s="22"/>
      <c r="AW33"/>
      <c r="AX33" s="74">
        <f t="shared" si="0"/>
        <v>0</v>
      </c>
      <c r="AY33" s="22">
        <f t="shared" si="1"/>
        <v>0</v>
      </c>
    </row>
    <row r="34" spans="1:52" x14ac:dyDescent="0.25">
      <c r="A34" s="19" t="s">
        <v>202</v>
      </c>
      <c r="B34" s="20" t="s">
        <v>34</v>
      </c>
      <c r="C34" s="25"/>
      <c r="D34" s="22"/>
      <c r="E34" s="25"/>
      <c r="F34" s="22">
        <v>5.03</v>
      </c>
      <c r="G34" s="25"/>
      <c r="H34" s="22">
        <f>1.03+62.91</f>
        <v>63.94</v>
      </c>
      <c r="I34" s="25"/>
      <c r="J34" s="22"/>
      <c r="K34" s="85"/>
      <c r="L34" s="102"/>
      <c r="M34" s="25"/>
      <c r="N34" s="22"/>
      <c r="O34" s="25"/>
      <c r="P34" s="22"/>
      <c r="Q34" s="25"/>
      <c r="R34" s="22"/>
      <c r="S34" s="25"/>
      <c r="T34" s="22">
        <v>3.75</v>
      </c>
      <c r="U34" s="25"/>
      <c r="V34" s="22">
        <v>6.02</v>
      </c>
      <c r="W34" s="25"/>
      <c r="X34" s="22"/>
      <c r="Y34" s="25"/>
      <c r="Z34" s="22"/>
      <c r="AA34" s="25"/>
      <c r="AB34" s="22"/>
      <c r="AC34" s="25"/>
      <c r="AD34" s="22"/>
      <c r="AE34" s="25"/>
      <c r="AF34" s="22">
        <v>2.0299999999999998</v>
      </c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ref="AX34:AX70" si="2">SUM(AV34,AT34,AR34,AP34,AN34,AL34,AJ34,AH34,AF34,AD34,AB34,Z34,X34,V34,T34,R34,P34,N34,L34,J34,H34,F34,D34)</f>
        <v>80.77</v>
      </c>
      <c r="AY34" s="22">
        <f t="shared" ref="AY34:AY70" si="3">AX34/1.055</f>
        <v>76.559241706161131</v>
      </c>
      <c r="AZ34" s="125">
        <f>SUM(AX4:AX34)</f>
        <v>9444.9700000000012</v>
      </c>
    </row>
    <row r="35" spans="1:52" s="18" customFormat="1" x14ac:dyDescent="0.25">
      <c r="A35" s="12" t="s">
        <v>46</v>
      </c>
      <c r="B35" s="13"/>
      <c r="C35" s="14"/>
      <c r="D35" s="15">
        <f>SUM(D36:D54)</f>
        <v>0</v>
      </c>
      <c r="E35" s="14"/>
      <c r="F35" s="15">
        <f>SUM(F36:F54)</f>
        <v>4.6400000000000006</v>
      </c>
      <c r="G35" s="14"/>
      <c r="H35" s="15">
        <f>SUM(H36:H54)</f>
        <v>0</v>
      </c>
      <c r="I35" s="14"/>
      <c r="J35" s="15">
        <f>SUM(J36:J54)</f>
        <v>33.42</v>
      </c>
      <c r="K35" s="70"/>
      <c r="L35" s="70">
        <f>SUM(L36:L54)</f>
        <v>4.21</v>
      </c>
      <c r="M35" s="14"/>
      <c r="N35" s="15">
        <f>SUM(N36:N54)</f>
        <v>5.0500000000000007</v>
      </c>
      <c r="O35" s="14"/>
      <c r="P35" s="15">
        <f>SUM(P36:P54)</f>
        <v>0</v>
      </c>
      <c r="Q35" s="14"/>
      <c r="R35" s="15">
        <f>SUM(R36:R54)</f>
        <v>6.52</v>
      </c>
      <c r="S35" s="14"/>
      <c r="T35" s="15">
        <f>SUM(T36:T54)</f>
        <v>18.25</v>
      </c>
      <c r="U35" s="14"/>
      <c r="V35" s="15">
        <f>SUM(V36:V54)</f>
        <v>28.400000000000002</v>
      </c>
      <c r="W35" s="14"/>
      <c r="X35" s="15">
        <f>SUM(X36:X54)</f>
        <v>0</v>
      </c>
      <c r="Y35" s="14"/>
      <c r="Z35" s="15">
        <f>SUM(Z36:Z54)</f>
        <v>42.32</v>
      </c>
      <c r="AA35" s="14"/>
      <c r="AB35" s="15">
        <f>SUM(AB36:AB54)</f>
        <v>7</v>
      </c>
      <c r="AC35" s="14"/>
      <c r="AD35" s="15">
        <f>SUM(AD36:AD54)</f>
        <v>7.2</v>
      </c>
      <c r="AE35" s="14"/>
      <c r="AF35" s="15">
        <f>SUM(AF36:AF54)</f>
        <v>16.72</v>
      </c>
      <c r="AG35" s="14"/>
      <c r="AH35" s="15">
        <f>SUM(AH36:AH54)</f>
        <v>0</v>
      </c>
      <c r="AI35" s="14"/>
      <c r="AJ35" s="15">
        <f>SUM(AJ36:AJ54)</f>
        <v>0</v>
      </c>
      <c r="AK35" s="14"/>
      <c r="AL35" s="15">
        <f>SUM(AL36:AL54)</f>
        <v>0</v>
      </c>
      <c r="AM35" s="14"/>
      <c r="AN35" s="15">
        <f>SUM(AN36:AN54)</f>
        <v>0</v>
      </c>
      <c r="AO35" s="14"/>
      <c r="AP35" s="15">
        <f>SUM(AP36:AP54)</f>
        <v>0</v>
      </c>
      <c r="AQ35" s="14"/>
      <c r="AR35" s="15">
        <f>SUM(AR36:AR54)</f>
        <v>0</v>
      </c>
      <c r="AS35" s="14"/>
      <c r="AT35" s="15">
        <f>SUM(AT36:AT54)</f>
        <v>0</v>
      </c>
      <c r="AU35" s="14"/>
      <c r="AV35" s="15">
        <f>SUM(AV36:AV54)</f>
        <v>0</v>
      </c>
      <c r="AX35" s="71">
        <f t="shared" si="2"/>
        <v>173.73000000000002</v>
      </c>
      <c r="AY35" s="15">
        <f t="shared" si="3"/>
        <v>164.67298578199055</v>
      </c>
    </row>
    <row r="36" spans="1:52" x14ac:dyDescent="0.25">
      <c r="A36" s="19" t="s">
        <v>47</v>
      </c>
      <c r="B36" s="20" t="s">
        <v>34</v>
      </c>
      <c r="C36" s="25"/>
      <c r="D36" s="22"/>
      <c r="E36" s="25"/>
      <c r="F36" s="22"/>
      <c r="G36" s="25"/>
      <c r="H36" s="22"/>
      <c r="I36" s="25"/>
      <c r="J36" s="22"/>
      <c r="K36" s="25"/>
      <c r="L36" s="102"/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0</v>
      </c>
      <c r="AY36" s="22">
        <f t="shared" si="3"/>
        <v>0</v>
      </c>
    </row>
    <row r="37" spans="1:52" x14ac:dyDescent="0.25">
      <c r="A37" s="19" t="s">
        <v>48</v>
      </c>
      <c r="B37" s="20" t="s">
        <v>34</v>
      </c>
      <c r="C37" s="25"/>
      <c r="D37" s="22"/>
      <c r="E37" s="25"/>
      <c r="F37" s="22">
        <v>3.56</v>
      </c>
      <c r="G37" s="25"/>
      <c r="H37" s="22"/>
      <c r="I37" s="25"/>
      <c r="J37" s="22">
        <v>17.100000000000001</v>
      </c>
      <c r="K37" s="25"/>
      <c r="L37" s="102"/>
      <c r="M37" s="25"/>
      <c r="N37" s="22">
        <v>1.83</v>
      </c>
      <c r="O37" s="25"/>
      <c r="P37" s="22"/>
      <c r="Q37" s="25"/>
      <c r="R37" s="22"/>
      <c r="S37" s="21"/>
      <c r="T37" s="22">
        <v>2.29</v>
      </c>
      <c r="U37" s="25"/>
      <c r="V37" s="22">
        <v>1.87</v>
      </c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26.650000000000002</v>
      </c>
      <c r="AY37" s="22">
        <f t="shared" si="3"/>
        <v>25.260663507109008</v>
      </c>
    </row>
    <row r="38" spans="1:52" x14ac:dyDescent="0.25">
      <c r="A38" s="19" t="s">
        <v>49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102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2" x14ac:dyDescent="0.25">
      <c r="A39" s="19" t="s">
        <v>50</v>
      </c>
      <c r="B39" s="20" t="s">
        <v>34</v>
      </c>
      <c r="C39" s="25"/>
      <c r="D39" s="22"/>
      <c r="E39" s="25"/>
      <c r="F39" s="22"/>
      <c r="G39" s="25"/>
      <c r="H39" s="22"/>
      <c r="I39" s="25"/>
      <c r="J39" s="22">
        <v>16.32</v>
      </c>
      <c r="K39" s="25"/>
      <c r="L39" s="102"/>
      <c r="M39" s="25"/>
      <c r="N39" s="22"/>
      <c r="O39" s="25"/>
      <c r="P39" s="22"/>
      <c r="Q39" s="25"/>
      <c r="R39" s="22"/>
      <c r="S39" s="21"/>
      <c r="T39" s="22">
        <v>15.96</v>
      </c>
      <c r="U39" s="25"/>
      <c r="V39" s="22">
        <f>19.53+7</f>
        <v>26.53</v>
      </c>
      <c r="W39" s="25"/>
      <c r="X39" s="22"/>
      <c r="Y39" s="25"/>
      <c r="Z39" s="22">
        <v>42.32</v>
      </c>
      <c r="AA39" s="21"/>
      <c r="AB39" s="22"/>
      <c r="AC39" s="25"/>
      <c r="AD39" s="22"/>
      <c r="AE39" s="25"/>
      <c r="AF39" s="22">
        <v>15.55</v>
      </c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116.68</v>
      </c>
      <c r="AY39" s="22">
        <f t="shared" si="3"/>
        <v>110.59715639810427</v>
      </c>
    </row>
    <row r="40" spans="1:52" x14ac:dyDescent="0.25">
      <c r="A40" s="19" t="s">
        <v>51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102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0</v>
      </c>
      <c r="AY40" s="22">
        <f t="shared" si="3"/>
        <v>0</v>
      </c>
    </row>
    <row r="41" spans="1:52" x14ac:dyDescent="0.25">
      <c r="A41" s="19" t="s">
        <v>208</v>
      </c>
      <c r="B41" s="20" t="s">
        <v>34</v>
      </c>
      <c r="C41" s="25"/>
      <c r="D41" s="22"/>
      <c r="E41" s="25"/>
      <c r="F41" s="22"/>
      <c r="G41" s="25"/>
      <c r="H41" s="22"/>
      <c r="I41" s="25"/>
      <c r="J41" s="22"/>
      <c r="K41" s="25"/>
      <c r="L41" s="102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2" x14ac:dyDescent="0.25">
      <c r="A42" s="19" t="s">
        <v>133</v>
      </c>
      <c r="B42" s="20" t="s">
        <v>53</v>
      </c>
      <c r="C42" s="25"/>
      <c r="D42" s="22"/>
      <c r="E42" s="25"/>
      <c r="F42" s="22"/>
      <c r="G42" s="25"/>
      <c r="H42" s="22"/>
      <c r="I42" s="25"/>
      <c r="J42" s="22"/>
      <c r="K42" s="25"/>
      <c r="L42" s="102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2" x14ac:dyDescent="0.25">
      <c r="A43" s="19" t="s">
        <v>54</v>
      </c>
      <c r="B43" s="20" t="s">
        <v>55</v>
      </c>
      <c r="C43" s="25"/>
      <c r="D43" s="22"/>
      <c r="E43" s="25"/>
      <c r="F43" s="22"/>
      <c r="G43" s="25"/>
      <c r="H43" s="22"/>
      <c r="I43" s="25"/>
      <c r="J43" s="22"/>
      <c r="K43" s="25"/>
      <c r="L43" s="102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2" x14ac:dyDescent="0.25">
      <c r="A44" s="19" t="s">
        <v>56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102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2" x14ac:dyDescent="0.25">
      <c r="A45" s="19" t="s">
        <v>57</v>
      </c>
      <c r="B45" s="20" t="s">
        <v>53</v>
      </c>
      <c r="C45" s="25"/>
      <c r="D45" s="22"/>
      <c r="E45" s="25"/>
      <c r="F45" s="22"/>
      <c r="G45" s="25"/>
      <c r="H45" s="22"/>
      <c r="I45" s="25"/>
      <c r="J45" s="22"/>
      <c r="K45" s="25"/>
      <c r="L45" s="102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2" x14ac:dyDescent="0.25">
      <c r="A46" s="19" t="s">
        <v>58</v>
      </c>
      <c r="B46" s="20" t="s">
        <v>34</v>
      </c>
      <c r="C46" s="25"/>
      <c r="D46" s="22"/>
      <c r="E46" s="25"/>
      <c r="F46" s="22">
        <v>1.08</v>
      </c>
      <c r="G46" s="25"/>
      <c r="H46" s="22"/>
      <c r="I46" s="25"/>
      <c r="J46" s="22"/>
      <c r="K46" s="25"/>
      <c r="L46" s="102"/>
      <c r="M46" s="25"/>
      <c r="N46" s="22">
        <v>3.22</v>
      </c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>
        <v>1.17</v>
      </c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5.4700000000000006</v>
      </c>
      <c r="AY46" s="22">
        <f t="shared" si="3"/>
        <v>5.1848341232227497</v>
      </c>
    </row>
    <row r="47" spans="1:52" x14ac:dyDescent="0.25">
      <c r="A47" s="19" t="s">
        <v>110</v>
      </c>
      <c r="B47" s="20" t="s">
        <v>34</v>
      </c>
      <c r="C47" s="25"/>
      <c r="D47" s="22"/>
      <c r="E47" s="25"/>
      <c r="F47" s="22"/>
      <c r="G47" s="25"/>
      <c r="H47" s="22"/>
      <c r="I47" s="25"/>
      <c r="J47" s="22"/>
      <c r="K47" s="25"/>
      <c r="L47" s="102"/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0</v>
      </c>
      <c r="AY47" s="22">
        <f t="shared" si="3"/>
        <v>0</v>
      </c>
    </row>
    <row r="48" spans="1:52" x14ac:dyDescent="0.25">
      <c r="A48" s="19" t="s">
        <v>111</v>
      </c>
      <c r="B48" s="20" t="s">
        <v>34</v>
      </c>
      <c r="C48" s="25"/>
      <c r="D48" s="22"/>
      <c r="E48" s="25"/>
      <c r="F48" s="22"/>
      <c r="G48" s="25"/>
      <c r="H48" s="22"/>
      <c r="I48" s="25"/>
      <c r="J48" s="22"/>
      <c r="K48" s="25"/>
      <c r="L48" s="102"/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0</v>
      </c>
      <c r="AY48" s="22">
        <f t="shared" si="3"/>
        <v>0</v>
      </c>
    </row>
    <row r="49" spans="1:51" x14ac:dyDescent="0.25">
      <c r="A49" s="19" t="s">
        <v>112</v>
      </c>
      <c r="B49" s="20" t="s">
        <v>53</v>
      </c>
      <c r="C49" s="25"/>
      <c r="D49" s="22"/>
      <c r="E49" s="25"/>
      <c r="F49" s="22"/>
      <c r="G49" s="25"/>
      <c r="H49" s="22"/>
      <c r="I49" s="25"/>
      <c r="J49" s="22"/>
      <c r="K49" s="25"/>
      <c r="L49" s="102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2"/>
        <v>0</v>
      </c>
      <c r="AY49" s="22">
        <f t="shared" si="3"/>
        <v>0</v>
      </c>
    </row>
    <row r="50" spans="1:51" x14ac:dyDescent="0.25">
      <c r="A50" s="19" t="s">
        <v>203</v>
      </c>
      <c r="B50" s="20" t="s">
        <v>34</v>
      </c>
      <c r="C50" s="25"/>
      <c r="D50" s="22"/>
      <c r="E50" s="25"/>
      <c r="F50" s="22"/>
      <c r="G50" s="25"/>
      <c r="H50" s="22"/>
      <c r="I50" s="25"/>
      <c r="J50" s="22"/>
      <c r="K50" s="25"/>
      <c r="L50" s="102"/>
      <c r="M50" s="25"/>
      <c r="N50" s="22"/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0</v>
      </c>
      <c r="AY50" s="22">
        <f t="shared" si="3"/>
        <v>0</v>
      </c>
    </row>
    <row r="51" spans="1:51" x14ac:dyDescent="0.25">
      <c r="A51" s="19" t="s">
        <v>134</v>
      </c>
      <c r="B51" s="20" t="s">
        <v>34</v>
      </c>
      <c r="C51" s="25"/>
      <c r="D51" s="22"/>
      <c r="E51" s="25"/>
      <c r="F51" s="22"/>
      <c r="G51" s="25"/>
      <c r="H51" s="22"/>
      <c r="I51" s="25"/>
      <c r="J51" s="22"/>
      <c r="K51" s="25"/>
      <c r="L51" s="102"/>
      <c r="M51" s="25"/>
      <c r="N51" s="22"/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0</v>
      </c>
      <c r="AY51" s="22">
        <f t="shared" si="3"/>
        <v>0</v>
      </c>
    </row>
    <row r="52" spans="1:51" x14ac:dyDescent="0.25">
      <c r="A52" s="19" t="s">
        <v>204</v>
      </c>
      <c r="B52" s="20" t="s">
        <v>34</v>
      </c>
      <c r="C52" s="25"/>
      <c r="D52" s="22"/>
      <c r="E52" s="25"/>
      <c r="F52" s="22"/>
      <c r="G52" s="25"/>
      <c r="H52" s="22"/>
      <c r="I52" s="25"/>
      <c r="J52" s="22"/>
      <c r="K52" s="25"/>
      <c r="L52" s="102"/>
      <c r="M52" s="25"/>
      <c r="N52" s="22"/>
      <c r="O52" s="25"/>
      <c r="P52" s="22"/>
      <c r="Q52" s="25"/>
      <c r="R52" s="22"/>
      <c r="S52" s="21"/>
      <c r="T52" s="22"/>
      <c r="U52" s="25"/>
      <c r="V52" s="22"/>
      <c r="W52" s="25"/>
      <c r="X52" s="22"/>
      <c r="Y52" s="25"/>
      <c r="Z52" s="22"/>
      <c r="AA52" s="21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2"/>
        <v>0</v>
      </c>
      <c r="AY52" s="22">
        <f t="shared" si="3"/>
        <v>0</v>
      </c>
    </row>
    <row r="53" spans="1:51" x14ac:dyDescent="0.25">
      <c r="A53" s="19" t="s">
        <v>220</v>
      </c>
      <c r="B53" s="20" t="s">
        <v>34</v>
      </c>
      <c r="C53" s="25"/>
      <c r="D53" s="22"/>
      <c r="E53" s="25"/>
      <c r="F53" s="22"/>
      <c r="G53" s="25"/>
      <c r="H53" s="22"/>
      <c r="I53" s="25"/>
      <c r="J53" s="22"/>
      <c r="K53" s="25"/>
      <c r="L53" s="102"/>
      <c r="M53" s="25"/>
      <c r="N53" s="22"/>
      <c r="O53" s="25"/>
      <c r="P53" s="22"/>
      <c r="Q53" s="25"/>
      <c r="R53" s="22"/>
      <c r="S53" s="21"/>
      <c r="T53" s="22"/>
      <c r="U53" s="25"/>
      <c r="V53" s="22"/>
      <c r="W53" s="25"/>
      <c r="X53" s="22"/>
      <c r="Y53" s="25"/>
      <c r="Z53" s="22"/>
      <c r="AA53" s="21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0</v>
      </c>
      <c r="AY53" s="22">
        <f t="shared" si="3"/>
        <v>0</v>
      </c>
    </row>
    <row r="54" spans="1:51" x14ac:dyDescent="0.25">
      <c r="A54" s="19" t="s">
        <v>59</v>
      </c>
      <c r="B54" s="20"/>
      <c r="C54" s="25"/>
      <c r="D54" s="22"/>
      <c r="E54" s="25"/>
      <c r="F54" s="22"/>
      <c r="G54" s="25"/>
      <c r="H54" s="22"/>
      <c r="I54" s="25"/>
      <c r="J54" s="22"/>
      <c r="K54" s="25"/>
      <c r="L54" s="102">
        <v>4.21</v>
      </c>
      <c r="M54" s="25"/>
      <c r="N54" s="22"/>
      <c r="O54" s="25"/>
      <c r="P54" s="22"/>
      <c r="Q54" s="25"/>
      <c r="R54" s="22">
        <v>6.52</v>
      </c>
      <c r="S54" s="21"/>
      <c r="T54" s="22"/>
      <c r="U54" s="25"/>
      <c r="V54" s="22"/>
      <c r="W54" s="25"/>
      <c r="X54" s="22"/>
      <c r="Y54" s="25"/>
      <c r="Z54" s="22"/>
      <c r="AA54" s="25"/>
      <c r="AB54" s="22">
        <v>7</v>
      </c>
      <c r="AC54" s="25"/>
      <c r="AD54" s="22">
        <v>7.2</v>
      </c>
      <c r="AE54" s="25"/>
      <c r="AF54" s="22"/>
      <c r="AG54" s="25"/>
      <c r="AH54" s="22"/>
      <c r="AI54" s="25"/>
      <c r="AJ54" s="22"/>
      <c r="AK54" s="25"/>
      <c r="AL54" s="22"/>
      <c r="AM54" s="25"/>
      <c r="AN54" s="22"/>
      <c r="AO54" s="25"/>
      <c r="AP54" s="22"/>
      <c r="AQ54" s="25"/>
      <c r="AR54" s="22"/>
      <c r="AS54" s="25"/>
      <c r="AT54" s="22"/>
      <c r="AU54" s="25"/>
      <c r="AV54" s="22"/>
      <c r="AW54"/>
      <c r="AX54" s="74">
        <f t="shared" si="2"/>
        <v>24.93</v>
      </c>
      <c r="AY54" s="22">
        <f t="shared" si="3"/>
        <v>23.630331753554504</v>
      </c>
    </row>
    <row r="55" spans="1:51" s="18" customFormat="1" x14ac:dyDescent="0.25">
      <c r="A55" s="12" t="s">
        <v>60</v>
      </c>
      <c r="B55" s="13"/>
      <c r="C55" s="14"/>
      <c r="D55" s="15">
        <f>SUM(D56:D64)</f>
        <v>17.059999999999999</v>
      </c>
      <c r="E55" s="14"/>
      <c r="F55" s="15">
        <f>SUM(F56:F64)</f>
        <v>51.56</v>
      </c>
      <c r="G55" s="14"/>
      <c r="H55" s="15">
        <f>SUM(H56:H64)</f>
        <v>55.53</v>
      </c>
      <c r="I55" s="14"/>
      <c r="J55" s="15">
        <f>SUM(J56:J64)</f>
        <v>15.16</v>
      </c>
      <c r="K55" s="70"/>
      <c r="L55" s="70">
        <f>SUM(L56:L64)</f>
        <v>32.81</v>
      </c>
      <c r="M55" s="14"/>
      <c r="N55" s="15">
        <f>SUM(N56:N64)</f>
        <v>50.010000000000005</v>
      </c>
      <c r="O55" s="14"/>
      <c r="P55" s="15">
        <f>SUM(P56:P64)</f>
        <v>69.53</v>
      </c>
      <c r="Q55" s="14"/>
      <c r="R55" s="15">
        <f>SUM(R56:R64)</f>
        <v>46.4</v>
      </c>
      <c r="S55" s="14"/>
      <c r="T55" s="15">
        <f>SUM(T56:T64)</f>
        <v>38.06</v>
      </c>
      <c r="U55" s="14"/>
      <c r="V55" s="15">
        <f>SUM(V56:V64)</f>
        <v>33.880000000000003</v>
      </c>
      <c r="W55" s="14"/>
      <c r="X55" s="15">
        <f>SUM(X56:X64)</f>
        <v>84.32</v>
      </c>
      <c r="Y55" s="14"/>
      <c r="Z55" s="15">
        <f>SUM(Z56:Z64)</f>
        <v>16.86</v>
      </c>
      <c r="AA55" s="14"/>
      <c r="AB55" s="15">
        <f>SUM(AB56:AB64)</f>
        <v>25.57</v>
      </c>
      <c r="AC55" s="14"/>
      <c r="AD55" s="15">
        <f>SUM(AD56:AD64)</f>
        <v>50.04</v>
      </c>
      <c r="AE55" s="14"/>
      <c r="AF55" s="15">
        <f>SUM(AF56:AF64)</f>
        <v>43.44</v>
      </c>
      <c r="AG55" s="14"/>
      <c r="AH55" s="15">
        <f>SUM(AH56:AH64)</f>
        <v>0</v>
      </c>
      <c r="AI55" s="14"/>
      <c r="AJ55" s="15">
        <f>SUM(AJ56:AJ64)</f>
        <v>0</v>
      </c>
      <c r="AK55" s="14"/>
      <c r="AL55" s="15">
        <f>SUM(AL56:AL64)</f>
        <v>0</v>
      </c>
      <c r="AM55" s="14"/>
      <c r="AN55" s="15">
        <f>SUM(AN56:AN64)</f>
        <v>0</v>
      </c>
      <c r="AO55" s="14"/>
      <c r="AP55" s="15">
        <f>SUM(AP56:AP64)</f>
        <v>0</v>
      </c>
      <c r="AQ55" s="14"/>
      <c r="AR55" s="15">
        <f>SUM(AR56:AR64)</f>
        <v>0</v>
      </c>
      <c r="AS55" s="14"/>
      <c r="AT55" s="15">
        <f>SUM(AT56:AT64)</f>
        <v>0</v>
      </c>
      <c r="AU55" s="14"/>
      <c r="AV55" s="15">
        <f>SUM(AV56:AV64)</f>
        <v>0</v>
      </c>
      <c r="AX55" s="71">
        <f t="shared" si="2"/>
        <v>630.22999999999979</v>
      </c>
      <c r="AY55" s="15">
        <f t="shared" si="3"/>
        <v>597.37440758293826</v>
      </c>
    </row>
    <row r="56" spans="1:51" x14ac:dyDescent="0.25">
      <c r="A56" s="19" t="s">
        <v>61</v>
      </c>
      <c r="B56" s="20" t="s">
        <v>34</v>
      </c>
      <c r="C56" s="25">
        <v>0.19</v>
      </c>
      <c r="D56" s="22">
        <v>4.37</v>
      </c>
      <c r="E56" s="25"/>
      <c r="F56" s="22"/>
      <c r="G56" s="25">
        <v>1.1200000000000001</v>
      </c>
      <c r="H56" s="22">
        <v>25.77</v>
      </c>
      <c r="I56" s="25"/>
      <c r="J56" s="22"/>
      <c r="K56" s="124">
        <v>0.125</v>
      </c>
      <c r="L56" s="102">
        <v>2.88</v>
      </c>
      <c r="M56" s="25"/>
      <c r="N56" s="22">
        <v>5.25</v>
      </c>
      <c r="O56" s="25">
        <v>0.61499999999999999</v>
      </c>
      <c r="P56" s="22">
        <v>14.15</v>
      </c>
      <c r="Q56" s="25">
        <v>0.42499999999999999</v>
      </c>
      <c r="R56" s="22">
        <v>9.7799999999999994</v>
      </c>
      <c r="S56" s="25"/>
      <c r="T56" s="22">
        <v>6.23</v>
      </c>
      <c r="U56" s="25"/>
      <c r="V56" s="22">
        <v>6.46</v>
      </c>
      <c r="W56" s="25">
        <v>0.495</v>
      </c>
      <c r="X56" s="22">
        <v>11.39</v>
      </c>
      <c r="Y56" s="25"/>
      <c r="Z56" s="22"/>
      <c r="AA56" s="25">
        <v>0.115</v>
      </c>
      <c r="AB56" s="22">
        <v>2.65</v>
      </c>
      <c r="AC56" s="25">
        <v>0.12</v>
      </c>
      <c r="AD56" s="22">
        <v>2.76</v>
      </c>
      <c r="AE56" s="25"/>
      <c r="AF56" s="22">
        <v>9.8800000000000008</v>
      </c>
      <c r="AG56" s="25"/>
      <c r="AH56" s="22"/>
      <c r="AI56" s="25"/>
      <c r="AJ56" s="22"/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/>
      <c r="AX56" s="74">
        <f t="shared" si="2"/>
        <v>101.57000000000001</v>
      </c>
      <c r="AY56" s="22">
        <f t="shared" si="3"/>
        <v>96.274881516587683</v>
      </c>
    </row>
    <row r="57" spans="1:51" x14ac:dyDescent="0.25">
      <c r="A57" s="19" t="s">
        <v>284</v>
      </c>
      <c r="B57" s="20" t="s">
        <v>34</v>
      </c>
      <c r="C57" s="85"/>
      <c r="D57" s="22"/>
      <c r="E57" s="85"/>
      <c r="F57" s="22">
        <v>4.8499999999999996</v>
      </c>
      <c r="G57" s="85"/>
      <c r="H57" s="22"/>
      <c r="I57" s="85"/>
      <c r="J57" s="22"/>
      <c r="K57" s="126"/>
      <c r="L57" s="22"/>
      <c r="M57" s="85"/>
      <c r="N57" s="22">
        <v>3.5</v>
      </c>
      <c r="O57" s="85"/>
      <c r="P57" s="22"/>
      <c r="Q57" s="85"/>
      <c r="R57" s="22"/>
      <c r="S57" s="85"/>
      <c r="T57" s="22"/>
      <c r="U57" s="85"/>
      <c r="V57" s="22"/>
      <c r="W57" s="85"/>
      <c r="X57" s="22"/>
      <c r="Y57" s="85"/>
      <c r="Z57" s="22"/>
      <c r="AA57" s="85"/>
      <c r="AB57" s="22"/>
      <c r="AC57" s="85"/>
      <c r="AD57" s="22"/>
      <c r="AE57" s="85"/>
      <c r="AF57" s="22">
        <f>2.28+3.61</f>
        <v>5.89</v>
      </c>
      <c r="AG57" s="85"/>
      <c r="AH57" s="22"/>
      <c r="AI57" s="85"/>
      <c r="AJ57" s="22"/>
      <c r="AK57" s="85"/>
      <c r="AL57" s="22"/>
      <c r="AM57" s="85"/>
      <c r="AN57" s="22"/>
      <c r="AO57" s="85"/>
      <c r="AP57" s="22"/>
      <c r="AQ57" s="85"/>
      <c r="AR57" s="22"/>
      <c r="AS57" s="85"/>
      <c r="AT57" s="22"/>
      <c r="AU57" s="85"/>
      <c r="AV57" s="22"/>
      <c r="AW57"/>
      <c r="AX57" s="74"/>
      <c r="AY57" s="22"/>
    </row>
    <row r="58" spans="1:51" x14ac:dyDescent="0.25">
      <c r="A58" s="19" t="s">
        <v>62</v>
      </c>
      <c r="B58" s="20" t="s">
        <v>34</v>
      </c>
      <c r="C58"/>
      <c r="D58" s="22"/>
      <c r="E58"/>
      <c r="F58" s="22"/>
      <c r="G58"/>
      <c r="H58" s="22"/>
      <c r="I58"/>
      <c r="J58" s="22"/>
      <c r="K58" s="124"/>
      <c r="L58" s="22"/>
      <c r="M58"/>
      <c r="N58" s="22">
        <v>1.24</v>
      </c>
      <c r="O58"/>
      <c r="P58" s="22"/>
      <c r="Q58"/>
      <c r="R58" s="22"/>
      <c r="S58"/>
      <c r="T58" s="22"/>
      <c r="U58"/>
      <c r="V58" s="22"/>
      <c r="W58"/>
      <c r="X58" s="22"/>
      <c r="Y58"/>
      <c r="Z58" s="22"/>
      <c r="AA58"/>
      <c r="AB58" s="22"/>
      <c r="AC58">
        <v>7.0000000000000007E-2</v>
      </c>
      <c r="AD58" s="22">
        <v>1.61</v>
      </c>
      <c r="AE58"/>
      <c r="AF58" s="22">
        <v>1.8</v>
      </c>
      <c r="AG58"/>
      <c r="AH58" s="22"/>
      <c r="AI58" s="102"/>
      <c r="AJ58" s="22"/>
      <c r="AK58"/>
      <c r="AL58" s="22"/>
      <c r="AM58"/>
      <c r="AN58" s="22"/>
      <c r="AO58"/>
      <c r="AP58" s="22"/>
      <c r="AQ58"/>
      <c r="AR58" s="22"/>
      <c r="AS58"/>
      <c r="AT58" s="22"/>
      <c r="AU58"/>
      <c r="AV58" s="22"/>
      <c r="AW58"/>
      <c r="AX58" s="74">
        <f t="shared" si="2"/>
        <v>4.6500000000000004</v>
      </c>
      <c r="AY58" s="22">
        <f t="shared" si="3"/>
        <v>4.407582938388626</v>
      </c>
    </row>
    <row r="59" spans="1:51" x14ac:dyDescent="0.25">
      <c r="A59" s="19" t="s">
        <v>63</v>
      </c>
      <c r="B59" s="20" t="s">
        <v>34</v>
      </c>
      <c r="C59"/>
      <c r="D59" s="22"/>
      <c r="E59"/>
      <c r="F59" s="22"/>
      <c r="G59">
        <v>0.24</v>
      </c>
      <c r="H59" s="22">
        <v>5.52</v>
      </c>
      <c r="I59"/>
      <c r="J59" s="22"/>
      <c r="K59" s="124">
        <v>0.38</v>
      </c>
      <c r="L59" s="22">
        <v>8.74</v>
      </c>
      <c r="M59"/>
      <c r="N59" s="22">
        <v>2.2799999999999998</v>
      </c>
      <c r="O59" s="128">
        <v>1.7350000000000001</v>
      </c>
      <c r="P59" s="22">
        <v>39.93</v>
      </c>
      <c r="Q59" s="128">
        <v>0.39</v>
      </c>
      <c r="R59" s="22">
        <v>8.9700000000000006</v>
      </c>
      <c r="S59"/>
      <c r="T59" s="22">
        <v>2.95</v>
      </c>
      <c r="U59"/>
      <c r="V59" s="22"/>
      <c r="W59">
        <v>0.76</v>
      </c>
      <c r="X59" s="22">
        <v>17.489999999999998</v>
      </c>
      <c r="Y59"/>
      <c r="Z59" s="22">
        <v>4.79</v>
      </c>
      <c r="AA59">
        <v>0.20499999999999999</v>
      </c>
      <c r="AB59" s="22">
        <v>4.72</v>
      </c>
      <c r="AC59">
        <v>0.74</v>
      </c>
      <c r="AD59" s="22">
        <v>17.03</v>
      </c>
      <c r="AE59"/>
      <c r="AF59" s="22"/>
      <c r="AG59"/>
      <c r="AH59" s="22"/>
      <c r="AI59"/>
      <c r="AJ59" s="22"/>
      <c r="AK59"/>
      <c r="AL59" s="22"/>
      <c r="AM59"/>
      <c r="AN59" s="22"/>
      <c r="AO59"/>
      <c r="AP59" s="22"/>
      <c r="AQ59"/>
      <c r="AR59" s="22"/>
      <c r="AS59"/>
      <c r="AT59" s="22"/>
      <c r="AU59"/>
      <c r="AV59" s="22"/>
      <c r="AW59"/>
      <c r="AX59" s="74">
        <f t="shared" si="2"/>
        <v>112.41999999999999</v>
      </c>
      <c r="AY59" s="22">
        <f t="shared" si="3"/>
        <v>106.55924170616113</v>
      </c>
    </row>
    <row r="60" spans="1:51" x14ac:dyDescent="0.25">
      <c r="A60" s="19" t="s">
        <v>64</v>
      </c>
      <c r="B60" s="20" t="s">
        <v>34</v>
      </c>
      <c r="C60" s="25"/>
      <c r="D60" s="22"/>
      <c r="E60" s="25"/>
      <c r="F60" s="22"/>
      <c r="G60" s="25"/>
      <c r="H60" s="22"/>
      <c r="I60" s="25"/>
      <c r="J60" s="22"/>
      <c r="K60" s="124"/>
      <c r="L60" s="102"/>
      <c r="M60" s="25"/>
      <c r="N60" s="22"/>
      <c r="O60" s="25"/>
      <c r="P60" s="22"/>
      <c r="Q60" s="25"/>
      <c r="R60" s="22"/>
      <c r="S60" s="25"/>
      <c r="T60" s="22"/>
      <c r="U60" s="85"/>
      <c r="V60" s="22"/>
      <c r="W60" s="25"/>
      <c r="X60" s="22"/>
      <c r="Y60" s="25"/>
      <c r="Z60" s="22"/>
      <c r="AA60" s="25"/>
      <c r="AB60" s="22"/>
      <c r="AC60" s="25"/>
      <c r="AD60" s="22"/>
      <c r="AE60" s="25"/>
      <c r="AF60" s="22"/>
      <c r="AG60" s="25"/>
      <c r="AH60" s="22"/>
      <c r="AI60" s="25"/>
      <c r="AJ60" s="22"/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 t="shared" si="2"/>
        <v>0</v>
      </c>
      <c r="AY60" s="22">
        <f t="shared" si="3"/>
        <v>0</v>
      </c>
    </row>
    <row r="61" spans="1:51" x14ac:dyDescent="0.25">
      <c r="A61" s="19" t="s">
        <v>65</v>
      </c>
      <c r="B61" s="20" t="s">
        <v>34</v>
      </c>
      <c r="C61" s="25"/>
      <c r="D61" s="22"/>
      <c r="E61" s="25"/>
      <c r="F61" s="22"/>
      <c r="G61" s="25"/>
      <c r="H61" s="22"/>
      <c r="I61" s="25"/>
      <c r="J61" s="22"/>
      <c r="K61" s="124"/>
      <c r="L61" s="102"/>
      <c r="M61" s="25"/>
      <c r="N61" s="22"/>
      <c r="O61" s="25"/>
      <c r="P61" s="22"/>
      <c r="Q61" s="25">
        <v>0.73499999999999999</v>
      </c>
      <c r="R61" s="22">
        <v>16.91</v>
      </c>
      <c r="S61" s="25"/>
      <c r="T61" s="22">
        <v>2.68</v>
      </c>
      <c r="U61" s="25"/>
      <c r="V61" s="22">
        <v>3.6</v>
      </c>
      <c r="W61" s="25">
        <v>0.81499999999999995</v>
      </c>
      <c r="X61" s="22">
        <v>18.760000000000002</v>
      </c>
      <c r="Y61" s="25"/>
      <c r="Z61" s="22"/>
      <c r="AA61" s="25"/>
      <c r="AB61" s="22"/>
      <c r="AC61" s="25">
        <v>0.625</v>
      </c>
      <c r="AD61" s="22">
        <v>14.38</v>
      </c>
      <c r="AE61" s="25"/>
      <c r="AF61" s="22">
        <v>1.75</v>
      </c>
      <c r="AG61" s="25"/>
      <c r="AH61" s="22"/>
      <c r="AI61" s="25"/>
      <c r="AJ61" s="22"/>
      <c r="AK61" s="25"/>
      <c r="AL61" s="22"/>
      <c r="AM61" s="25"/>
      <c r="AN61" s="22"/>
      <c r="AO61" s="25"/>
      <c r="AP61" s="22"/>
      <c r="AQ61" s="25"/>
      <c r="AR61" s="22"/>
      <c r="AS61" s="25"/>
      <c r="AT61" s="22"/>
      <c r="AU61" s="25"/>
      <c r="AV61" s="22"/>
      <c r="AW61"/>
      <c r="AX61" s="74">
        <f t="shared" si="2"/>
        <v>58.08</v>
      </c>
      <c r="AY61" s="22">
        <f t="shared" si="3"/>
        <v>55.052132701421804</v>
      </c>
    </row>
    <row r="62" spans="1:51" x14ac:dyDescent="0.25">
      <c r="A62" s="19" t="s">
        <v>66</v>
      </c>
      <c r="B62" s="20" t="s">
        <v>34</v>
      </c>
      <c r="C62" s="25">
        <v>1.335</v>
      </c>
      <c r="D62" s="22">
        <v>12.69</v>
      </c>
      <c r="E62" s="25"/>
      <c r="F62" s="22">
        <v>46.71</v>
      </c>
      <c r="G62" s="25">
        <v>2.5499999999999998</v>
      </c>
      <c r="H62" s="22">
        <v>24.24</v>
      </c>
      <c r="I62" s="25"/>
      <c r="J62" s="22">
        <v>15.16</v>
      </c>
      <c r="K62" s="124">
        <v>1.83</v>
      </c>
      <c r="L62" s="102">
        <v>17.39</v>
      </c>
      <c r="M62" s="25"/>
      <c r="N62" s="22">
        <v>33.74</v>
      </c>
      <c r="O62" s="25">
        <v>1.625</v>
      </c>
      <c r="P62" s="22">
        <v>15.45</v>
      </c>
      <c r="Q62" s="25">
        <v>0.875</v>
      </c>
      <c r="R62" s="22">
        <v>8.32</v>
      </c>
      <c r="S62" s="25"/>
      <c r="T62" s="22">
        <v>26.2</v>
      </c>
      <c r="U62" s="25"/>
      <c r="V62" s="22">
        <v>23.82</v>
      </c>
      <c r="W62" s="25">
        <v>3.86</v>
      </c>
      <c r="X62" s="22">
        <v>36.68</v>
      </c>
      <c r="Y62" s="25"/>
      <c r="Z62" s="22">
        <v>12.07</v>
      </c>
      <c r="AA62" s="25">
        <v>1.915</v>
      </c>
      <c r="AB62" s="22">
        <v>18.2</v>
      </c>
      <c r="AC62" s="25">
        <v>1.5</v>
      </c>
      <c r="AD62" s="22">
        <v>14.26</v>
      </c>
      <c r="AE62" s="25"/>
      <c r="AF62" s="22">
        <v>24.12</v>
      </c>
      <c r="AG62" s="25"/>
      <c r="AH62" s="22"/>
      <c r="AI62" s="25"/>
      <c r="AJ62" s="22"/>
      <c r="AK62" s="25"/>
      <c r="AL62" s="22"/>
      <c r="AM62" s="25"/>
      <c r="AN62" s="22"/>
      <c r="AO62" s="25"/>
      <c r="AP62" s="22"/>
      <c r="AQ62" s="25"/>
      <c r="AR62" s="22"/>
      <c r="AS62" s="25"/>
      <c r="AT62" s="22"/>
      <c r="AU62" s="25"/>
      <c r="AV62" s="22"/>
      <c r="AW62"/>
      <c r="AX62" s="74">
        <f t="shared" si="2"/>
        <v>329.04999999999995</v>
      </c>
      <c r="AY62" s="22">
        <f t="shared" si="3"/>
        <v>311.89573459715638</v>
      </c>
    </row>
    <row r="63" spans="1:51" x14ac:dyDescent="0.25">
      <c r="A63" s="19" t="s">
        <v>38</v>
      </c>
      <c r="B63" s="20" t="s">
        <v>34</v>
      </c>
      <c r="C63" s="25"/>
      <c r="D63" s="22"/>
      <c r="E63" s="25"/>
      <c r="F63" s="22"/>
      <c r="G63" s="25"/>
      <c r="H63" s="22"/>
      <c r="I63" s="25"/>
      <c r="J63" s="22"/>
      <c r="K63" s="124">
        <v>0.16500000000000001</v>
      </c>
      <c r="L63" s="102">
        <v>3.8</v>
      </c>
      <c r="M63" s="25"/>
      <c r="N63" s="22">
        <v>4</v>
      </c>
      <c r="O63" s="25"/>
      <c r="P63" s="22"/>
      <c r="Q63" s="25">
        <v>0.105</v>
      </c>
      <c r="R63" s="22">
        <v>2.42</v>
      </c>
      <c r="S63" s="25"/>
      <c r="T63" s="22"/>
      <c r="U63" s="25"/>
      <c r="V63" s="22"/>
      <c r="W63" s="25"/>
      <c r="X63" s="22"/>
      <c r="Y63" s="25"/>
      <c r="Z63" s="22"/>
      <c r="AA63" s="25"/>
      <c r="AB63" s="22"/>
      <c r="AC63" s="25"/>
      <c r="AD63" s="22"/>
      <c r="AE63" s="25"/>
      <c r="AF63" s="22"/>
      <c r="AG63" s="25"/>
      <c r="AH63" s="22"/>
      <c r="AI63" s="25"/>
      <c r="AJ63" s="22"/>
      <c r="AK63" s="25"/>
      <c r="AL63" s="22"/>
      <c r="AM63" s="25"/>
      <c r="AN63" s="22"/>
      <c r="AO63" s="25"/>
      <c r="AP63" s="22"/>
      <c r="AQ63" s="25"/>
      <c r="AR63" s="22"/>
      <c r="AS63" s="25"/>
      <c r="AT63" s="22"/>
      <c r="AU63" s="25"/>
      <c r="AV63" s="22"/>
      <c r="AW63"/>
      <c r="AX63" s="74">
        <f t="shared" si="2"/>
        <v>10.219999999999999</v>
      </c>
      <c r="AY63" s="22">
        <f t="shared" si="3"/>
        <v>9.6872037914691944</v>
      </c>
    </row>
    <row r="64" spans="1:51" x14ac:dyDescent="0.25">
      <c r="A64" s="19" t="s">
        <v>114</v>
      </c>
      <c r="B64" s="20"/>
      <c r="C64" s="25"/>
      <c r="D64" s="22"/>
      <c r="E64" s="25"/>
      <c r="F64" s="22"/>
      <c r="G64" s="25"/>
      <c r="H64" s="22"/>
      <c r="I64" s="25"/>
      <c r="J64" s="22"/>
      <c r="K64" s="124"/>
      <c r="L64" s="102"/>
      <c r="M64" s="25"/>
      <c r="N64" s="22"/>
      <c r="O64" s="25"/>
      <c r="P64" s="22"/>
      <c r="Q64" s="25"/>
      <c r="R64" s="22"/>
      <c r="S64" s="25"/>
      <c r="T64" s="22"/>
      <c r="U64" s="25"/>
      <c r="V64" s="22"/>
      <c r="W64" s="25"/>
      <c r="X64" s="22"/>
      <c r="Y64" s="25"/>
      <c r="Z64" s="22"/>
      <c r="AA64" s="25"/>
      <c r="AB64" s="22"/>
      <c r="AC64" s="25"/>
      <c r="AD64" s="22"/>
      <c r="AE64" s="25"/>
      <c r="AF64" s="22"/>
      <c r="AG64" s="25">
        <v>1</v>
      </c>
      <c r="AH64" s="22"/>
      <c r="AI64" s="25"/>
      <c r="AJ64" s="22"/>
      <c r="AK64" s="25"/>
      <c r="AL64" s="22"/>
      <c r="AM64" s="25"/>
      <c r="AN64" s="22"/>
      <c r="AO64" s="25"/>
      <c r="AP64" s="22"/>
      <c r="AQ64" s="25"/>
      <c r="AR64" s="22"/>
      <c r="AS64" s="25"/>
      <c r="AT64" s="22"/>
      <c r="AU64" s="25"/>
      <c r="AV64" s="22"/>
      <c r="AW64"/>
      <c r="AX64" s="74">
        <f t="shared" si="2"/>
        <v>0</v>
      </c>
      <c r="AY64" s="22">
        <f t="shared" si="3"/>
        <v>0</v>
      </c>
    </row>
    <row r="65" spans="1:53" s="18" customFormat="1" x14ac:dyDescent="0.25">
      <c r="A65" s="12" t="s">
        <v>67</v>
      </c>
      <c r="B65" s="13"/>
      <c r="C65" s="14"/>
      <c r="D65" s="15">
        <f>SUM(D66:D67)</f>
        <v>2.5</v>
      </c>
      <c r="E65" s="14"/>
      <c r="F65" s="15">
        <f>SUM(F66:F67)</f>
        <v>24.1</v>
      </c>
      <c r="G65" s="14"/>
      <c r="H65" s="15">
        <f>SUM(H66:H67)</f>
        <v>0</v>
      </c>
      <c r="I65" s="14"/>
      <c r="J65" s="15">
        <f>SUM(J66:J67)</f>
        <v>10</v>
      </c>
      <c r="K65" s="70"/>
      <c r="L65" s="70">
        <f>SUM(L66:L67)</f>
        <v>2.9</v>
      </c>
      <c r="M65" s="14"/>
      <c r="N65" s="15">
        <f>SUM(N66:N67)</f>
        <v>18.3</v>
      </c>
      <c r="O65" s="14"/>
      <c r="P65" s="15">
        <f>SUM(P66:P67)</f>
        <v>0</v>
      </c>
      <c r="Q65" s="14"/>
      <c r="R65" s="15">
        <f>SUM(R66:R67)</f>
        <v>7.9</v>
      </c>
      <c r="S65" s="14"/>
      <c r="T65" s="15">
        <f>SUM(T66:T67)</f>
        <v>7.5</v>
      </c>
      <c r="U65" s="14"/>
      <c r="V65" s="15">
        <f>SUM(V66:V67)</f>
        <v>22</v>
      </c>
      <c r="W65" s="14"/>
      <c r="X65" s="15">
        <f>SUM(X66:X67)</f>
        <v>5</v>
      </c>
      <c r="Y65" s="14"/>
      <c r="Z65" s="15">
        <f>SUM(Z66:Z67)</f>
        <v>12.9</v>
      </c>
      <c r="AA65" s="14"/>
      <c r="AB65" s="15">
        <f>SUM(AB66:AB67)</f>
        <v>10.8</v>
      </c>
      <c r="AC65" s="14"/>
      <c r="AD65" s="15">
        <f>SUM(AD66:AD67)</f>
        <v>5.8</v>
      </c>
      <c r="AE65" s="14"/>
      <c r="AF65" s="15">
        <f>SUM(AF66:AF67)</f>
        <v>13.3</v>
      </c>
      <c r="AG65" s="14"/>
      <c r="AH65" s="15">
        <f>SUM(AH66:AH67)</f>
        <v>0</v>
      </c>
      <c r="AI65" s="14"/>
      <c r="AJ65" s="15">
        <f>SUM(AJ66:AJ67)</f>
        <v>0</v>
      </c>
      <c r="AK65" s="14"/>
      <c r="AL65" s="15">
        <f>SUM(AL66:AL67)</f>
        <v>0</v>
      </c>
      <c r="AM65" s="14"/>
      <c r="AN65" s="15">
        <f>SUM(AN66:AN67)</f>
        <v>0</v>
      </c>
      <c r="AO65" s="14"/>
      <c r="AP65" s="15">
        <f>SUM(AP66:AP67)</f>
        <v>0</v>
      </c>
      <c r="AQ65" s="14"/>
      <c r="AR65" s="15">
        <f>SUM(AR66:AR67)</f>
        <v>0</v>
      </c>
      <c r="AS65" s="14"/>
      <c r="AT65" s="15">
        <f>SUM(AT66:AT67)</f>
        <v>0</v>
      </c>
      <c r="AU65" s="14"/>
      <c r="AV65" s="15">
        <f>SUM(AV66:AV67)</f>
        <v>0</v>
      </c>
      <c r="AX65" s="71">
        <f t="shared" si="2"/>
        <v>143.00000000000003</v>
      </c>
      <c r="AY65" s="15">
        <f t="shared" si="3"/>
        <v>135.54502369668251</v>
      </c>
    </row>
    <row r="66" spans="1:53" x14ac:dyDescent="0.25">
      <c r="A66" s="19" t="s">
        <v>68</v>
      </c>
      <c r="B66" s="20" t="s">
        <v>69</v>
      </c>
      <c r="C66" s="21">
        <v>1</v>
      </c>
      <c r="D66" s="22">
        <v>2.5</v>
      </c>
      <c r="E66" s="21">
        <v>5</v>
      </c>
      <c r="F66" s="22">
        <v>12.5</v>
      </c>
      <c r="G66" s="21"/>
      <c r="H66" s="22"/>
      <c r="I66" s="21">
        <v>4</v>
      </c>
      <c r="J66" s="22">
        <v>10</v>
      </c>
      <c r="K66" s="24"/>
      <c r="L66" s="102"/>
      <c r="M66" s="21">
        <v>5</v>
      </c>
      <c r="N66" s="22">
        <v>12.5</v>
      </c>
      <c r="O66" s="21"/>
      <c r="P66" s="22"/>
      <c r="Q66" s="21">
        <v>2</v>
      </c>
      <c r="R66" s="22">
        <v>5</v>
      </c>
      <c r="S66" s="21">
        <v>3</v>
      </c>
      <c r="T66" s="22">
        <v>7.5</v>
      </c>
      <c r="U66" s="21">
        <v>3</v>
      </c>
      <c r="V66" s="22">
        <v>7.5</v>
      </c>
      <c r="W66" s="21">
        <v>2</v>
      </c>
      <c r="X66" s="22">
        <v>5</v>
      </c>
      <c r="Y66" s="21">
        <v>4</v>
      </c>
      <c r="Z66" s="22">
        <v>10</v>
      </c>
      <c r="AA66" s="21">
        <v>2</v>
      </c>
      <c r="AB66" s="22">
        <v>5</v>
      </c>
      <c r="AC66" s="21"/>
      <c r="AD66" s="22"/>
      <c r="AE66" s="21">
        <v>3</v>
      </c>
      <c r="AF66" s="22">
        <v>7.5</v>
      </c>
      <c r="AG66" s="21"/>
      <c r="AH66" s="22"/>
      <c r="AI66" s="21"/>
      <c r="AJ66" s="22"/>
      <c r="AK66" s="21"/>
      <c r="AL66" s="22"/>
      <c r="AM66" s="21"/>
      <c r="AN66" s="22"/>
      <c r="AO66" s="21"/>
      <c r="AP66" s="22"/>
      <c r="AQ66" s="21"/>
      <c r="AR66" s="22"/>
      <c r="AS66" s="21"/>
      <c r="AT66" s="22"/>
      <c r="AU66" s="21"/>
      <c r="AV66" s="22"/>
      <c r="AW66"/>
      <c r="AX66" s="74">
        <f t="shared" si="2"/>
        <v>85</v>
      </c>
      <c r="AY66" s="22">
        <f t="shared" si="3"/>
        <v>80.568720379146924</v>
      </c>
      <c r="BA66" s="75"/>
    </row>
    <row r="67" spans="1:53" ht="15.75" thickBot="1" x14ac:dyDescent="0.3">
      <c r="A67" s="7" t="s">
        <v>70</v>
      </c>
      <c r="B67" s="8" t="s">
        <v>69</v>
      </c>
      <c r="C67" s="26"/>
      <c r="D67" s="10"/>
      <c r="E67" s="26">
        <v>4</v>
      </c>
      <c r="F67" s="10">
        <v>11.6</v>
      </c>
      <c r="G67" s="26"/>
      <c r="H67" s="10"/>
      <c r="I67" s="26"/>
      <c r="J67" s="10"/>
      <c r="K67" s="26">
        <v>1</v>
      </c>
      <c r="L67" s="68">
        <v>2.9</v>
      </c>
      <c r="M67" s="26">
        <v>2</v>
      </c>
      <c r="N67" s="10">
        <v>5.8</v>
      </c>
      <c r="O67" s="26"/>
      <c r="P67" s="10"/>
      <c r="Q67" s="26">
        <v>1</v>
      </c>
      <c r="R67" s="10">
        <v>2.9</v>
      </c>
      <c r="S67" s="26"/>
      <c r="T67" s="10"/>
      <c r="U67" s="26">
        <v>5</v>
      </c>
      <c r="V67" s="10">
        <v>14.5</v>
      </c>
      <c r="W67" s="26"/>
      <c r="X67" s="10"/>
      <c r="Y67" s="26">
        <v>1</v>
      </c>
      <c r="Z67" s="10">
        <v>2.9</v>
      </c>
      <c r="AA67" s="26">
        <v>2</v>
      </c>
      <c r="AB67" s="10">
        <v>5.8</v>
      </c>
      <c r="AC67" s="26">
        <v>2</v>
      </c>
      <c r="AD67" s="10">
        <v>5.8</v>
      </c>
      <c r="AE67" s="26">
        <v>2</v>
      </c>
      <c r="AF67" s="10">
        <v>5.8</v>
      </c>
      <c r="AG67" s="26"/>
      <c r="AH67" s="10"/>
      <c r="AI67" s="26"/>
      <c r="AJ67" s="10"/>
      <c r="AK67" s="26"/>
      <c r="AL67" s="10"/>
      <c r="AM67" s="26"/>
      <c r="AN67" s="10"/>
      <c r="AO67" s="26"/>
      <c r="AP67" s="10"/>
      <c r="AQ67" s="26"/>
      <c r="AR67" s="10"/>
      <c r="AS67" s="26"/>
      <c r="AT67" s="10"/>
      <c r="AU67" s="26"/>
      <c r="AV67" s="10"/>
      <c r="AW67"/>
      <c r="AX67" s="77">
        <f t="shared" si="2"/>
        <v>57.999999999999993</v>
      </c>
      <c r="AY67" s="10">
        <f t="shared" si="3"/>
        <v>54.976303317535539</v>
      </c>
    </row>
    <row r="68" spans="1:53" s="18" customFormat="1" x14ac:dyDescent="0.25">
      <c r="A68" s="12" t="s">
        <v>71</v>
      </c>
      <c r="B68" s="13"/>
      <c r="C68" s="14"/>
      <c r="D68" s="15">
        <f>SUM(D69:D69)</f>
        <v>0</v>
      </c>
      <c r="E68" s="14"/>
      <c r="F68" s="15">
        <f>SUM(F69:F69)</f>
        <v>0</v>
      </c>
      <c r="G68" s="14"/>
      <c r="H68" s="15">
        <f>SUM(H69:H69)</f>
        <v>0</v>
      </c>
      <c r="I68" s="14"/>
      <c r="J68" s="15">
        <f>SUM(J69:J69)</f>
        <v>0</v>
      </c>
      <c r="K68" s="70"/>
      <c r="L68" s="70"/>
      <c r="M68" s="14"/>
      <c r="N68" s="15">
        <f>SUM(N69:N69)</f>
        <v>0</v>
      </c>
      <c r="O68" s="14"/>
      <c r="P68" s="15">
        <f>SUM(P69:P69)</f>
        <v>0</v>
      </c>
      <c r="Q68" s="14"/>
      <c r="R68" s="15">
        <f>SUM(R69:R69)</f>
        <v>0</v>
      </c>
      <c r="S68" s="14"/>
      <c r="T68" s="15">
        <f>SUM(T69:T69)</f>
        <v>0</v>
      </c>
      <c r="U68" s="14"/>
      <c r="V68" s="15">
        <f>SUM(V69:V69)</f>
        <v>0</v>
      </c>
      <c r="W68" s="14"/>
      <c r="X68" s="15">
        <f>SUM(X69:X69)</f>
        <v>0</v>
      </c>
      <c r="Y68" s="14"/>
      <c r="Z68" s="15">
        <f>SUM(Z69:Z69)</f>
        <v>0</v>
      </c>
      <c r="AA68" s="14"/>
      <c r="AB68" s="15">
        <f>SUM(AB69:AB69)</f>
        <v>0</v>
      </c>
      <c r="AC68" s="14"/>
      <c r="AD68" s="15">
        <f>SUM(AD69:AD69)</f>
        <v>0</v>
      </c>
      <c r="AE68" s="14"/>
      <c r="AF68" s="15">
        <f>SUM(AF69:AF69)</f>
        <v>0</v>
      </c>
      <c r="AG68" s="14"/>
      <c r="AH68" s="15">
        <f>SUM(AH69:AH69)</f>
        <v>0</v>
      </c>
      <c r="AI68" s="14"/>
      <c r="AJ68" s="15">
        <f>SUM(AJ69:AJ69)</f>
        <v>0</v>
      </c>
      <c r="AK68" s="14"/>
      <c r="AL68" s="15">
        <f>SUM(AL69:AL69)</f>
        <v>0</v>
      </c>
      <c r="AM68" s="14"/>
      <c r="AN68" s="15">
        <f>SUM(AN69:AN69)</f>
        <v>0</v>
      </c>
      <c r="AO68" s="14"/>
      <c r="AP68" s="15">
        <f>SUM(AP69:AP69)</f>
        <v>0</v>
      </c>
      <c r="AQ68" s="14"/>
      <c r="AR68" s="15">
        <f>SUM(AR69:AR69)</f>
        <v>0</v>
      </c>
      <c r="AS68" s="14"/>
      <c r="AT68" s="15">
        <f>SUM(AT69:AT69)</f>
        <v>0</v>
      </c>
      <c r="AU68" s="14"/>
      <c r="AV68" s="15">
        <f>SUM(AV69:AV69)</f>
        <v>0</v>
      </c>
      <c r="AX68" s="71">
        <f t="shared" si="2"/>
        <v>0</v>
      </c>
      <c r="AY68" s="15">
        <f t="shared" si="3"/>
        <v>0</v>
      </c>
    </row>
    <row r="69" spans="1:53" ht="15.75" thickBot="1" x14ac:dyDescent="0.3">
      <c r="A69" s="7" t="s">
        <v>72</v>
      </c>
      <c r="B69" s="8" t="s">
        <v>73</v>
      </c>
      <c r="C69" s="26"/>
      <c r="D69" s="10"/>
      <c r="E69" s="26"/>
      <c r="F69" s="10"/>
      <c r="G69" s="26"/>
      <c r="H69" s="10"/>
      <c r="I69" s="26"/>
      <c r="J69" s="10"/>
      <c r="K69" s="76"/>
      <c r="L69" s="68"/>
      <c r="M69" s="26"/>
      <c r="N69" s="10"/>
      <c r="O69" s="26"/>
      <c r="P69" s="10"/>
      <c r="Q69" s="26"/>
      <c r="R69" s="10"/>
      <c r="S69" s="26"/>
      <c r="T69" s="10"/>
      <c r="U69" s="26"/>
      <c r="V69" s="10"/>
      <c r="W69" s="26"/>
      <c r="X69" s="10"/>
      <c r="Y69" s="26"/>
      <c r="Z69" s="10"/>
      <c r="AA69" s="26"/>
      <c r="AB69" s="10"/>
      <c r="AC69" s="26"/>
      <c r="AD69" s="10"/>
      <c r="AE69" s="26"/>
      <c r="AF69" s="10"/>
      <c r="AG69" s="26"/>
      <c r="AH69" s="10"/>
      <c r="AI69" s="26"/>
      <c r="AJ69" s="10"/>
      <c r="AK69" s="26"/>
      <c r="AL69" s="10"/>
      <c r="AM69" s="26"/>
      <c r="AN69" s="10"/>
      <c r="AO69" s="26"/>
      <c r="AP69" s="10"/>
      <c r="AQ69" s="26"/>
      <c r="AR69" s="10"/>
      <c r="AS69" s="26"/>
      <c r="AT69" s="10"/>
      <c r="AU69" s="26"/>
      <c r="AV69" s="10"/>
      <c r="AW69"/>
      <c r="AX69" s="77">
        <f t="shared" si="2"/>
        <v>0</v>
      </c>
      <c r="AY69" s="10">
        <f t="shared" si="3"/>
        <v>0</v>
      </c>
    </row>
    <row r="70" spans="1:53" s="30" customFormat="1" x14ac:dyDescent="0.25">
      <c r="A70" s="138" t="s">
        <v>74</v>
      </c>
      <c r="B70" s="138"/>
      <c r="C70" s="28"/>
      <c r="D70" s="29">
        <f>D3+D35+D55+D65+D68</f>
        <v>852.05000000000007</v>
      </c>
      <c r="E70" s="28"/>
      <c r="F70" s="29">
        <f>F3+F35+F55+F65+F68</f>
        <v>604.7700000000001</v>
      </c>
      <c r="G70" s="28"/>
      <c r="H70" s="29">
        <f>H3+H35+H55+H65+H68</f>
        <v>1142.42</v>
      </c>
      <c r="I70" s="28"/>
      <c r="J70" s="29">
        <f>J3+J35+J55+J65+J68</f>
        <v>412.28000000000003</v>
      </c>
      <c r="K70" s="29"/>
      <c r="L70" s="29">
        <f>L3+L35+L55+L65+L68</f>
        <v>825.93999999999994</v>
      </c>
      <c r="M70" s="28"/>
      <c r="N70" s="29">
        <f>N3+N35+N55+N65+N68</f>
        <v>584.71</v>
      </c>
      <c r="O70" s="28"/>
      <c r="P70" s="29">
        <f>P3+P35+P55+P65+P68</f>
        <v>1042.54</v>
      </c>
      <c r="Q70" s="28"/>
      <c r="R70" s="29">
        <f>R3+R35+R55+R65+R68</f>
        <v>577.79999999999984</v>
      </c>
      <c r="S70" s="28"/>
      <c r="T70" s="29">
        <f>T3+T35+T55+T65+T68</f>
        <v>338.07</v>
      </c>
      <c r="U70" s="28"/>
      <c r="V70" s="29">
        <f>V3+V35+V55+V65+V68</f>
        <v>583.23</v>
      </c>
      <c r="W70" s="28"/>
      <c r="X70" s="29">
        <f>X3+X35+X55+X65+X68</f>
        <v>1056.5899999999999</v>
      </c>
      <c r="Y70" s="28"/>
      <c r="Z70" s="29">
        <f>Z3+Z35+Z55+Z65+Z68</f>
        <v>396.07</v>
      </c>
      <c r="AA70" s="28"/>
      <c r="AB70" s="29">
        <f>AB3+AB35+AB55+AB65+AB68</f>
        <v>661.99999999999989</v>
      </c>
      <c r="AC70" s="28"/>
      <c r="AD70" s="29">
        <f>AD3+AD35+AD55+AD65+AD68</f>
        <v>756.54</v>
      </c>
      <c r="AE70" s="28"/>
      <c r="AF70" s="29">
        <f>AF3+AF35+AF55+AF65+AF68</f>
        <v>556.91999999999985</v>
      </c>
      <c r="AG70" s="28"/>
      <c r="AH70" s="29">
        <f>AH3+AH35+AH55+AH65+AH68</f>
        <v>0</v>
      </c>
      <c r="AI70" s="28"/>
      <c r="AJ70" s="29">
        <f>AJ3+AJ35+AJ55+AJ65+AJ68</f>
        <v>0</v>
      </c>
      <c r="AK70" s="28"/>
      <c r="AL70" s="29">
        <f>AL3+AL35+AL55+AL65+AL68</f>
        <v>0</v>
      </c>
      <c r="AM70" s="28"/>
      <c r="AN70" s="29">
        <f>AN3+AN35+AN55+AN65+AN68</f>
        <v>0</v>
      </c>
      <c r="AO70" s="28"/>
      <c r="AP70" s="29">
        <f>AP3+AP35+AP55+AP65+AP68</f>
        <v>0</v>
      </c>
      <c r="AQ70" s="28"/>
      <c r="AR70" s="29">
        <f>AR3+AR35+AR55+AR65+AR68</f>
        <v>0</v>
      </c>
      <c r="AS70" s="28"/>
      <c r="AT70" s="29">
        <f>AT3+AT35+AT55+AT65+AT68</f>
        <v>0</v>
      </c>
      <c r="AU70" s="28"/>
      <c r="AV70" s="29">
        <f>AV3+AV35+AV55+AV65+AV68</f>
        <v>0</v>
      </c>
      <c r="AW70" s="29"/>
      <c r="AX70" s="28">
        <f t="shared" si="2"/>
        <v>10391.93</v>
      </c>
      <c r="AY70" s="29">
        <f t="shared" si="3"/>
        <v>9850.1706161137445</v>
      </c>
    </row>
    <row r="71" spans="1:53" ht="15.75" thickBot="1" x14ac:dyDescent="0.3">
      <c r="C71" s="32"/>
      <c r="D71" s="32"/>
      <c r="E71" s="32"/>
      <c r="F71" s="12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Y71" s="78"/>
      <c r="AZ71" s="91"/>
    </row>
    <row r="72" spans="1:53" ht="15.75" thickBot="1" x14ac:dyDescent="0.3">
      <c r="A72" s="139" t="s">
        <v>75</v>
      </c>
      <c r="B72" s="33" t="s">
        <v>76</v>
      </c>
      <c r="C72" s="34"/>
      <c r="D72" s="109">
        <f>794-53.87</f>
        <v>740.13</v>
      </c>
      <c r="E72" s="34"/>
      <c r="F72" s="110">
        <f>691-93.4</f>
        <v>597.6</v>
      </c>
      <c r="G72" s="34"/>
      <c r="H72" s="111">
        <f>1075.7-61.19</f>
        <v>1014.51</v>
      </c>
      <c r="I72" s="34"/>
      <c r="J72" s="111">
        <f>423.5-10.87</f>
        <v>412.63</v>
      </c>
      <c r="K72" s="36"/>
      <c r="L72" s="110">
        <f>802.9-38.82</f>
        <v>764.07999999999993</v>
      </c>
      <c r="M72" s="34"/>
      <c r="N72" s="111">
        <f>671-86.84</f>
        <v>584.16</v>
      </c>
      <c r="O72" s="34"/>
      <c r="P72" s="111">
        <f>1029.4-43.62</f>
        <v>985.78000000000009</v>
      </c>
      <c r="Q72" s="34"/>
      <c r="R72" s="110">
        <f>534.5-14.88</f>
        <v>519.62</v>
      </c>
      <c r="S72" s="34"/>
      <c r="T72" s="111">
        <f>350-24.16</f>
        <v>325.83999999999997</v>
      </c>
      <c r="U72" s="34"/>
      <c r="V72" s="111">
        <f>600-47.11</f>
        <v>552.89</v>
      </c>
      <c r="W72" s="34"/>
      <c r="X72" s="111">
        <f>1090.5-56.23</f>
        <v>1034.27</v>
      </c>
      <c r="Y72" s="34"/>
      <c r="Z72" s="111">
        <f>420-23.32</f>
        <v>396.68</v>
      </c>
      <c r="AA72" s="34"/>
      <c r="AB72" s="111">
        <f>603.1-66.31</f>
        <v>536.79</v>
      </c>
      <c r="AC72" s="34"/>
      <c r="AD72" s="111">
        <f>745.2-30.12</f>
        <v>715.08</v>
      </c>
      <c r="AE72" s="34"/>
      <c r="AF72" s="111">
        <f>600-43.15</f>
        <v>556.85</v>
      </c>
      <c r="AG72" s="34"/>
      <c r="AH72" s="111"/>
      <c r="AI72" s="34"/>
      <c r="AJ72" s="111"/>
      <c r="AK72" s="34"/>
      <c r="AL72" s="111"/>
      <c r="AM72" s="34"/>
      <c r="AN72" s="111"/>
      <c r="AO72" s="34"/>
      <c r="AP72" s="111"/>
      <c r="AQ72" s="34"/>
      <c r="AR72" s="111"/>
      <c r="AS72" s="34"/>
      <c r="AT72" s="111"/>
      <c r="AU72" s="34"/>
      <c r="AV72" s="103"/>
      <c r="AW72" s="79"/>
      <c r="AX72" s="92">
        <f>SUM(D72,F72,H72,J72,L72,N72,P72,R72,T72,V72,X72,Z72,AB72,AD72,AF72,AH72,AJ72,AL72,AN72,AP72,AR72,AT72,AV72)</f>
        <v>9736.91</v>
      </c>
      <c r="AY72" s="37">
        <f>AX72/1.055</f>
        <v>9229.2985781990519</v>
      </c>
    </row>
    <row r="73" spans="1:53" ht="15.75" thickBot="1" x14ac:dyDescent="0.3">
      <c r="A73" s="139"/>
      <c r="B73" s="38" t="s">
        <v>77</v>
      </c>
      <c r="C73" s="39">
        <v>4</v>
      </c>
      <c r="D73" s="113">
        <v>112.84</v>
      </c>
      <c r="E73" s="39">
        <v>1</v>
      </c>
      <c r="F73" s="114">
        <v>7.4</v>
      </c>
      <c r="G73" s="39">
        <v>4</v>
      </c>
      <c r="H73" s="115">
        <v>121.09</v>
      </c>
      <c r="I73" s="39"/>
      <c r="J73" s="115"/>
      <c r="K73" s="88">
        <v>3</v>
      </c>
      <c r="L73" s="114">
        <v>62.4</v>
      </c>
      <c r="M73" s="39"/>
      <c r="N73" s="115"/>
      <c r="O73" s="39">
        <v>4</v>
      </c>
      <c r="P73" s="115">
        <v>55.57</v>
      </c>
      <c r="Q73" s="39">
        <v>3</v>
      </c>
      <c r="R73" s="114">
        <v>58.3</v>
      </c>
      <c r="S73" s="39">
        <v>1</v>
      </c>
      <c r="T73" s="115">
        <v>12.35</v>
      </c>
      <c r="U73" s="39">
        <v>2</v>
      </c>
      <c r="V73" s="115">
        <v>31.09</v>
      </c>
      <c r="W73" s="39">
        <v>2</v>
      </c>
      <c r="X73" s="115">
        <v>22.7</v>
      </c>
      <c r="Y73" s="39"/>
      <c r="Z73" s="115"/>
      <c r="AA73" s="39">
        <v>4</v>
      </c>
      <c r="AB73" s="115">
        <v>75.599999999999994</v>
      </c>
      <c r="AC73" s="39">
        <v>3</v>
      </c>
      <c r="AD73" s="115">
        <v>41.24</v>
      </c>
      <c r="AE73" s="39"/>
      <c r="AF73" s="115"/>
      <c r="AG73" s="39"/>
      <c r="AH73" s="115"/>
      <c r="AI73" s="39"/>
      <c r="AJ73" s="115"/>
      <c r="AK73" s="39"/>
      <c r="AL73" s="115"/>
      <c r="AM73" s="39"/>
      <c r="AN73" s="115"/>
      <c r="AO73" s="39"/>
      <c r="AP73" s="115"/>
      <c r="AQ73" s="39"/>
      <c r="AR73" s="115"/>
      <c r="AS73" s="39"/>
      <c r="AT73" s="115"/>
      <c r="AU73" s="39"/>
      <c r="AV73" s="104"/>
      <c r="AW73" s="80"/>
      <c r="AX73" s="93">
        <f>SUM(D73,F73,H73,J73,L73,N73,P73,R73,T73,V73,X73,Z73,AB73,AD73,AF73,AH73,AJ73,AL73,AN73,AP73,AR73,AT73,AV73)</f>
        <v>600.58000000000004</v>
      </c>
      <c r="AY73" s="42">
        <f>AX73/1.055</f>
        <v>569.27014218009481</v>
      </c>
    </row>
    <row r="74" spans="1:53" ht="15.75" thickBot="1" x14ac:dyDescent="0.3">
      <c r="A74" s="139"/>
      <c r="B74" s="38" t="s">
        <v>245</v>
      </c>
      <c r="C74" s="39"/>
      <c r="D74" s="113"/>
      <c r="E74" s="39"/>
      <c r="F74" s="114"/>
      <c r="G74" s="39"/>
      <c r="H74" s="115"/>
      <c r="I74" s="39"/>
      <c r="J74" s="115"/>
      <c r="K74" s="88"/>
      <c r="L74" s="114"/>
      <c r="M74" s="39"/>
      <c r="N74" s="115"/>
      <c r="O74" s="39"/>
      <c r="P74" s="115"/>
      <c r="Q74" s="43"/>
      <c r="R74" s="114"/>
      <c r="S74" s="39"/>
      <c r="T74" s="115"/>
      <c r="U74" s="39"/>
      <c r="V74" s="115"/>
      <c r="W74" s="39"/>
      <c r="X74" s="115"/>
      <c r="Y74" s="39"/>
      <c r="Z74" s="115"/>
      <c r="AA74" s="39"/>
      <c r="AB74" s="115"/>
      <c r="AC74" s="39"/>
      <c r="AD74" s="115"/>
      <c r="AE74" s="39"/>
      <c r="AF74" s="115"/>
      <c r="AG74" s="39"/>
      <c r="AH74" s="115"/>
      <c r="AI74" s="39"/>
      <c r="AJ74" s="115"/>
      <c r="AK74" s="39"/>
      <c r="AL74" s="115"/>
      <c r="AM74" s="39"/>
      <c r="AN74" s="115"/>
      <c r="AO74" s="39"/>
      <c r="AP74" s="115"/>
      <c r="AQ74" s="39"/>
      <c r="AR74" s="115"/>
      <c r="AS74" s="39"/>
      <c r="AT74" s="115"/>
      <c r="AU74" s="39"/>
      <c r="AV74" s="104"/>
      <c r="AW74" s="80"/>
      <c r="AX74" s="93">
        <f>D74+F74+H74+J74+L74+N74+P74+R74+T74+V74+Z74+X74+AB74+AD74+AF74+AH74+AJ74+AL74+AN74+AP74+AR74+AT74+AV74</f>
        <v>0</v>
      </c>
      <c r="AY74" s="42"/>
    </row>
    <row r="75" spans="1:53" ht="15.75" thickBot="1" x14ac:dyDescent="0.3">
      <c r="A75" s="139"/>
      <c r="B75" s="38" t="s">
        <v>114</v>
      </c>
      <c r="C75" s="39"/>
      <c r="D75" s="113"/>
      <c r="E75" s="39"/>
      <c r="F75" s="114"/>
      <c r="G75" s="39"/>
      <c r="H75" s="115"/>
      <c r="I75" s="39"/>
      <c r="J75" s="115"/>
      <c r="K75" s="88"/>
      <c r="L75" s="114"/>
      <c r="M75" s="39"/>
      <c r="N75" s="115"/>
      <c r="O75" s="39"/>
      <c r="P75" s="115"/>
      <c r="Q75" s="43"/>
      <c r="R75" s="114"/>
      <c r="S75" s="39"/>
      <c r="T75" s="115"/>
      <c r="U75" s="39"/>
      <c r="V75" s="115"/>
      <c r="W75" s="39"/>
      <c r="X75" s="115"/>
      <c r="Y75" s="39"/>
      <c r="Z75" s="115"/>
      <c r="AA75" s="39"/>
      <c r="AB75" s="115"/>
      <c r="AC75" s="39"/>
      <c r="AD75" s="115"/>
      <c r="AE75" s="39"/>
      <c r="AF75" s="115"/>
      <c r="AG75" s="39"/>
      <c r="AH75" s="115"/>
      <c r="AI75" s="39"/>
      <c r="AJ75" s="115"/>
      <c r="AK75" s="39"/>
      <c r="AL75" s="115"/>
      <c r="AM75" s="39"/>
      <c r="AN75" s="115"/>
      <c r="AO75" s="39"/>
      <c r="AP75" s="115"/>
      <c r="AQ75" s="39"/>
      <c r="AR75" s="115"/>
      <c r="AS75" s="39"/>
      <c r="AT75" s="115"/>
      <c r="AU75" s="39"/>
      <c r="AV75" s="104"/>
      <c r="AW75" s="80"/>
      <c r="AX75" s="93"/>
      <c r="AY75" s="42"/>
    </row>
    <row r="76" spans="1:53" ht="15.75" thickBot="1" x14ac:dyDescent="0.3">
      <c r="A76" s="139"/>
      <c r="B76" s="38" t="s">
        <v>157</v>
      </c>
      <c r="C76" s="43"/>
      <c r="D76" s="113"/>
      <c r="E76" s="43"/>
      <c r="F76" s="114"/>
      <c r="G76" s="43"/>
      <c r="H76" s="115"/>
      <c r="I76" s="43"/>
      <c r="J76" s="115"/>
      <c r="K76" s="41"/>
      <c r="L76" s="114"/>
      <c r="M76" s="43"/>
      <c r="N76" s="115"/>
      <c r="O76" s="43"/>
      <c r="P76" s="115"/>
      <c r="Q76" s="43"/>
      <c r="R76" s="114"/>
      <c r="S76" s="43"/>
      <c r="T76" s="115"/>
      <c r="U76" s="43"/>
      <c r="V76" s="115"/>
      <c r="W76" s="43"/>
      <c r="X76" s="115"/>
      <c r="Y76" s="43"/>
      <c r="Z76" s="115"/>
      <c r="AA76" s="43"/>
      <c r="AB76" s="115">
        <v>50</v>
      </c>
      <c r="AC76" s="43"/>
      <c r="AD76" s="115"/>
      <c r="AE76" s="43"/>
      <c r="AF76" s="115"/>
      <c r="AG76" s="43"/>
      <c r="AH76" s="115"/>
      <c r="AI76" s="43"/>
      <c r="AJ76" s="115"/>
      <c r="AK76" s="43"/>
      <c r="AL76" s="115"/>
      <c r="AM76" s="43"/>
      <c r="AN76" s="115"/>
      <c r="AO76" s="43"/>
      <c r="AP76" s="115"/>
      <c r="AQ76" s="43"/>
      <c r="AR76" s="115"/>
      <c r="AS76" s="43"/>
      <c r="AT76" s="115"/>
      <c r="AU76" s="43"/>
      <c r="AV76" s="104"/>
      <c r="AW76" s="81"/>
      <c r="AX76" s="94"/>
      <c r="AY76" s="42"/>
    </row>
    <row r="77" spans="1:53" s="51" customFormat="1" ht="15.75" thickBot="1" x14ac:dyDescent="0.3">
      <c r="A77" s="139"/>
      <c r="B77" s="44" t="s">
        <v>78</v>
      </c>
      <c r="C77" s="45"/>
      <c r="D77" s="117">
        <f>SUM(D72:D76)</f>
        <v>852.97</v>
      </c>
      <c r="E77" s="105"/>
      <c r="F77" s="118">
        <f>SUM(F72:F76)</f>
        <v>605</v>
      </c>
      <c r="G77" s="105"/>
      <c r="H77" s="119">
        <f>SUM(H72:H76)</f>
        <v>1135.5999999999999</v>
      </c>
      <c r="I77" s="105"/>
      <c r="J77" s="119">
        <f>SUM(J72:J76)</f>
        <v>412.63</v>
      </c>
      <c r="K77" s="106"/>
      <c r="L77" s="118">
        <f>SUM(L72:L76)</f>
        <v>826.4799999999999</v>
      </c>
      <c r="M77" s="105"/>
      <c r="N77" s="119">
        <f>SUM(N72:N76)</f>
        <v>584.16</v>
      </c>
      <c r="O77" s="105"/>
      <c r="P77" s="119">
        <f>SUM(P72:P76)</f>
        <v>1041.3500000000001</v>
      </c>
      <c r="Q77" s="105"/>
      <c r="R77" s="118">
        <f>SUM(R72:R76)</f>
        <v>577.91999999999996</v>
      </c>
      <c r="S77" s="105"/>
      <c r="T77" s="119">
        <f>SUM(T72:T76)</f>
        <v>338.19</v>
      </c>
      <c r="U77" s="105"/>
      <c r="V77" s="119">
        <f>SUM(V72:V76)</f>
        <v>583.98</v>
      </c>
      <c r="W77" s="105"/>
      <c r="X77" s="119">
        <f>SUM(X72:X76)</f>
        <v>1056.97</v>
      </c>
      <c r="Y77" s="105"/>
      <c r="Z77" s="119">
        <f>SUM(Z72:Z76)</f>
        <v>396.68</v>
      </c>
      <c r="AA77" s="105"/>
      <c r="AB77" s="119">
        <f>SUM(AB72:AB76)</f>
        <v>662.39</v>
      </c>
      <c r="AC77" s="105"/>
      <c r="AD77" s="119">
        <f>SUM(AD72:AD76)</f>
        <v>756.32</v>
      </c>
      <c r="AE77" s="105"/>
      <c r="AF77" s="119">
        <f>SUM(AF72:AF76)</f>
        <v>556.85</v>
      </c>
      <c r="AG77" s="105"/>
      <c r="AH77" s="119">
        <f>SUM(AH72:AH76)</f>
        <v>0</v>
      </c>
      <c r="AI77" s="105"/>
      <c r="AJ77" s="119">
        <f>SUM(AJ72:AJ76)</f>
        <v>0</v>
      </c>
      <c r="AK77" s="105"/>
      <c r="AL77" s="119">
        <f>SUM(AL72:AL76)</f>
        <v>0</v>
      </c>
      <c r="AM77" s="105"/>
      <c r="AN77" s="119">
        <f>SUM(AN72:AN76)</f>
        <v>0</v>
      </c>
      <c r="AO77" s="105"/>
      <c r="AP77" s="119">
        <f>SUM(AP72:AP76)</f>
        <v>0</v>
      </c>
      <c r="AQ77" s="105"/>
      <c r="AR77" s="119">
        <f>SUM(AR72:AR76)</f>
        <v>0</v>
      </c>
      <c r="AS77" s="105"/>
      <c r="AT77" s="119">
        <f>SUM(AT72:AT76)</f>
        <v>0</v>
      </c>
      <c r="AU77" s="105"/>
      <c r="AV77" s="107">
        <f>SUM(AV72:AV76)</f>
        <v>0</v>
      </c>
      <c r="AW77" s="82"/>
      <c r="AX77" s="95">
        <f>SUM(AX72:AX76)</f>
        <v>10337.49</v>
      </c>
      <c r="AY77" s="48">
        <f>SUM(AY72:AY76)</f>
        <v>9798.5687203791458</v>
      </c>
    </row>
    <row r="78" spans="1:53" ht="15" customHeight="1" x14ac:dyDescent="0.2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83"/>
      <c r="N78" s="83"/>
      <c r="O78" s="147"/>
      <c r="P78" s="147"/>
      <c r="Q78" s="83"/>
      <c r="R78" s="83"/>
      <c r="S78" s="83"/>
      <c r="T78" s="83"/>
      <c r="U78" s="83"/>
      <c r="V78" s="83"/>
      <c r="W78" s="32"/>
      <c r="X78" s="32"/>
      <c r="Y78" s="32"/>
      <c r="Z78" s="32"/>
      <c r="AA78" s="32"/>
      <c r="AB78" s="32"/>
      <c r="AC78" s="32"/>
      <c r="AD78" s="32"/>
      <c r="AE78" s="66"/>
      <c r="AF78" s="66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53" x14ac:dyDescent="0.25">
      <c r="M79" s="32"/>
      <c r="N79" s="32"/>
      <c r="AE79" s="66"/>
      <c r="AF79" s="66"/>
    </row>
    <row r="80" spans="1:53" x14ac:dyDescent="0.25">
      <c r="AE80" s="66"/>
      <c r="AF80" s="66"/>
      <c r="AX80" s="125">
        <f>AX68+AX65+AX55+AX35+AX3</f>
        <v>10391.929999999998</v>
      </c>
    </row>
    <row r="81" spans="50:50" x14ac:dyDescent="0.25">
      <c r="AX81" s="125">
        <f>SUM(AX3:AX69)-AX80</f>
        <v>10377.690000000004</v>
      </c>
    </row>
  </sheetData>
  <mergeCells count="28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Y1:AY2"/>
    <mergeCell ref="A70:B70"/>
    <mergeCell ref="A72:A77"/>
    <mergeCell ref="O78:P78"/>
    <mergeCell ref="AM1:AN1"/>
    <mergeCell ref="AO1:AP1"/>
    <mergeCell ref="AQ1:AR1"/>
    <mergeCell ref="AS1:AT1"/>
    <mergeCell ref="AU1:AV1"/>
    <mergeCell ref="AX1:AX2"/>
    <mergeCell ref="AA1:AB1"/>
    <mergeCell ref="AC1:AD1"/>
    <mergeCell ref="AE1:AF1"/>
    <mergeCell ref="AG1:AH1"/>
    <mergeCell ref="AI1:AJ1"/>
    <mergeCell ref="AK1:AL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51"/>
  <sheetViews>
    <sheetView windowProtection="1" tabSelected="1" workbookViewId="0">
      <selection activeCell="E3" sqref="E3"/>
    </sheetView>
  </sheetViews>
  <sheetFormatPr baseColWidth="10" defaultRowHeight="15" x14ac:dyDescent="0.25"/>
  <cols>
    <col min="1" max="1" width="22" bestFit="1" customWidth="1"/>
    <col min="2" max="3" width="11.85546875" bestFit="1" customWidth="1"/>
    <col min="5" max="5" width="11.85546875" bestFit="1" customWidth="1"/>
  </cols>
  <sheetData>
    <row r="1" spans="1:5" x14ac:dyDescent="0.25">
      <c r="A1" s="134" t="s">
        <v>296</v>
      </c>
      <c r="B1" s="133" t="s">
        <v>298</v>
      </c>
      <c r="C1" s="133" t="s">
        <v>297</v>
      </c>
    </row>
    <row r="2" spans="1:5" x14ac:dyDescent="0.25">
      <c r="A2" s="129" t="s">
        <v>25</v>
      </c>
      <c r="B2" s="130">
        <f>SUM(JANVIER2017:AOUT2017!AX4)</f>
        <v>14833.03</v>
      </c>
      <c r="C2" s="130">
        <f>SUM(JANVIER2017:AOUT2017!AY4)</f>
        <v>14059.744075829385</v>
      </c>
      <c r="D2" t="s">
        <v>300</v>
      </c>
      <c r="E2" s="135">
        <f>SUM(B2:B6)</f>
        <v>28302.100000000002</v>
      </c>
    </row>
    <row r="3" spans="1:5" x14ac:dyDescent="0.25">
      <c r="A3" s="129" t="s">
        <v>27</v>
      </c>
      <c r="B3" s="130">
        <f>SUM(JANVIER2017:AOUT2017!AX5)</f>
        <v>8487.24</v>
      </c>
      <c r="C3" s="130">
        <f>SUM(JANVIER2017:AOUT2017!AY5)</f>
        <v>8044.7772511848343</v>
      </c>
    </row>
    <row r="4" spans="1:5" x14ac:dyDescent="0.25">
      <c r="A4" s="129" t="s">
        <v>302</v>
      </c>
      <c r="B4" s="130">
        <f>SUM(JANVIER2017:AOUT2017!AX6)</f>
        <v>2313.2000000000003</v>
      </c>
      <c r="C4" s="130">
        <f>SUM(JANVIER2017:AOUT2017!AY6)</f>
        <v>2192.6066350710903</v>
      </c>
    </row>
    <row r="5" spans="1:5" x14ac:dyDescent="0.25">
      <c r="A5" s="129" t="s">
        <v>303</v>
      </c>
      <c r="B5" s="130">
        <f>SUM(JANVIER2017:AOUT2017!AX7)</f>
        <v>2382.65</v>
      </c>
      <c r="C5" s="130">
        <f>SUM(JANVIER2017:AOUT2017!AY7)</f>
        <v>2258.4360189573463</v>
      </c>
      <c r="D5" s="135"/>
    </row>
    <row r="6" spans="1:5" x14ac:dyDescent="0.25">
      <c r="A6" s="129" t="s">
        <v>29</v>
      </c>
      <c r="B6" s="130">
        <f>SUM(JANVIER2017:AOUT2017!AX8)</f>
        <v>285.98</v>
      </c>
      <c r="C6" s="130">
        <f>SUM(JANVIER2017:AOUT2017!AY8)</f>
        <v>271.0710900473934</v>
      </c>
    </row>
    <row r="7" spans="1:5" x14ac:dyDescent="0.25">
      <c r="A7" s="129" t="s">
        <v>102</v>
      </c>
      <c r="B7" s="130">
        <f>SUM(JANVIER2017:AOUT2017!AX9)</f>
        <v>42.5</v>
      </c>
      <c r="C7" s="130">
        <f>SUM(JANVIER2017:AOUT2017!AY9)</f>
        <v>40.284360189573462</v>
      </c>
    </row>
    <row r="8" spans="1:5" x14ac:dyDescent="0.25">
      <c r="A8" s="129" t="s">
        <v>104</v>
      </c>
      <c r="B8" s="130">
        <f>SUM(JANVIER2017:AOUT2017!AX10)</f>
        <v>298</v>
      </c>
      <c r="C8" s="130">
        <f>SUM(JANVIER2017:AOUT2017!AY10)</f>
        <v>282.46445497630333</v>
      </c>
    </row>
    <row r="9" spans="1:5" x14ac:dyDescent="0.25">
      <c r="A9" s="129" t="s">
        <v>31</v>
      </c>
      <c r="B9" s="130">
        <f>SUM(JANVIER2017:AOUT2017!AX11)</f>
        <v>1494.18</v>
      </c>
      <c r="C9" s="130">
        <f>SUM(JANVIER2017:AOUT2017!AY11)</f>
        <v>1416.2843601895734</v>
      </c>
    </row>
    <row r="10" spans="1:5" x14ac:dyDescent="0.25">
      <c r="A10" s="129" t="s">
        <v>103</v>
      </c>
      <c r="B10" s="130">
        <f>SUM(JANVIER2017:AOUT2017!AX12)</f>
        <v>416.93999999999994</v>
      </c>
      <c r="C10" s="130">
        <f>SUM(JANVIER2017:AOUT2017!AY12)</f>
        <v>395.20379146919436</v>
      </c>
    </row>
    <row r="11" spans="1:5" x14ac:dyDescent="0.25">
      <c r="A11" s="129" t="s">
        <v>32</v>
      </c>
      <c r="B11" s="130">
        <f>SUM(JANVIER2017:AOUT2017!AX13)</f>
        <v>1693.4699999999996</v>
      </c>
      <c r="C11" s="130">
        <f>SUM(JANVIER2017:AOUT2017!AY13)</f>
        <v>1605.1848341232223</v>
      </c>
    </row>
    <row r="12" spans="1:5" x14ac:dyDescent="0.25">
      <c r="A12" s="129" t="s">
        <v>107</v>
      </c>
      <c r="B12" s="130">
        <f>SUM(JANVIER2017:AOUT2017!AX14)</f>
        <v>2355.19</v>
      </c>
      <c r="C12" s="130">
        <f>SUM(JANVIER2017:AOUT2017!AY14)</f>
        <v>2232.4075829383887</v>
      </c>
    </row>
    <row r="13" spans="1:5" x14ac:dyDescent="0.25">
      <c r="A13" s="129" t="s">
        <v>108</v>
      </c>
      <c r="B13" s="130">
        <f>SUM(JANVIER2017:AOUT2017!AX15)</f>
        <v>1135.3499999999999</v>
      </c>
      <c r="C13" s="130">
        <f>SUM(JANVIER2017:AOUT2017!AY15)</f>
        <v>1076.1611374407585</v>
      </c>
    </row>
    <row r="14" spans="1:5" x14ac:dyDescent="0.25">
      <c r="A14" s="129" t="s">
        <v>33</v>
      </c>
      <c r="B14" s="130">
        <f>SUM(JANVIER2017:AOUT2017!AX16)</f>
        <v>85.04</v>
      </c>
      <c r="C14" s="130">
        <f>SUM(JANVIER2017:AOUT2017!AY16)</f>
        <v>80.606635071090054</v>
      </c>
    </row>
    <row r="15" spans="1:5" x14ac:dyDescent="0.25">
      <c r="A15" s="129" t="s">
        <v>35</v>
      </c>
      <c r="B15" s="130">
        <f>SUM(JANVIER2017:AOUT2017!AX17)</f>
        <v>0</v>
      </c>
      <c r="C15" s="130">
        <f>SUM(JANVIER2017:AOUT2017!AY17)</f>
        <v>0</v>
      </c>
    </row>
    <row r="16" spans="1:5" x14ac:dyDescent="0.25">
      <c r="A16" s="129" t="s">
        <v>36</v>
      </c>
      <c r="B16" s="130">
        <f>SUM(JANVIER2017:AOUT2017!AX18)</f>
        <v>7.23</v>
      </c>
      <c r="C16" s="130">
        <f>SUM(JANVIER2017:AOUT2017!AY18)</f>
        <v>6.8530805687203795</v>
      </c>
    </row>
    <row r="17" spans="1:3" x14ac:dyDescent="0.25">
      <c r="A17" s="129" t="s">
        <v>37</v>
      </c>
      <c r="B17" s="130">
        <f>SUM(JANVIER2017:AOUT2017!AX19)</f>
        <v>545.55999999999995</v>
      </c>
      <c r="C17" s="130">
        <f>SUM(JANVIER2017:AOUT2017!AY19)</f>
        <v>517.11848341232235</v>
      </c>
    </row>
    <row r="18" spans="1:3" x14ac:dyDescent="0.25">
      <c r="A18" s="129" t="s">
        <v>38</v>
      </c>
      <c r="B18" s="130">
        <f>SUM(JANVIER2017:AOUT2017!AX20)</f>
        <v>1601.7799999999997</v>
      </c>
      <c r="C18" s="130">
        <f>SUM(JANVIER2017:AOUT2017!AY20)</f>
        <v>1518.2748815165876</v>
      </c>
    </row>
    <row r="19" spans="1:3" x14ac:dyDescent="0.25">
      <c r="A19" s="129" t="s">
        <v>39</v>
      </c>
      <c r="B19" s="130">
        <f>SUM(JANVIER2017:AOUT2017!AX21)</f>
        <v>4034.87</v>
      </c>
      <c r="C19" s="130">
        <f>SUM(JANVIER2017:AOUT2017!AY21)</f>
        <v>3824.5213270142181</v>
      </c>
    </row>
    <row r="20" spans="1:3" x14ac:dyDescent="0.25">
      <c r="A20" s="129" t="s">
        <v>40</v>
      </c>
      <c r="B20" s="130">
        <f>SUM(JANVIER2017:AOUT2017!AX22)</f>
        <v>1341.12</v>
      </c>
      <c r="C20" s="130">
        <f>SUM(JANVIER2017:AOUT2017!AY22)</f>
        <v>1271.2037914691944</v>
      </c>
    </row>
    <row r="21" spans="1:3" x14ac:dyDescent="0.25">
      <c r="A21" s="129" t="s">
        <v>30</v>
      </c>
      <c r="B21" s="130">
        <f>SUM(JANVIER2017:AOUT2017!AX23)</f>
        <v>945.81999999999994</v>
      </c>
      <c r="C21" s="130">
        <f>SUM(JANVIER2017:AOUT2017!AY23)</f>
        <v>896.51184834123228</v>
      </c>
    </row>
    <row r="22" spans="1:3" x14ac:dyDescent="0.25">
      <c r="A22" s="129" t="s">
        <v>105</v>
      </c>
      <c r="B22" s="130">
        <f>SUM(JANVIER2017:AOUT2017!AX24)</f>
        <v>0</v>
      </c>
      <c r="C22" s="130">
        <f>SUM(JANVIER2017:AOUT2017!AY24)</f>
        <v>0</v>
      </c>
    </row>
    <row r="23" spans="1:3" x14ac:dyDescent="0.25">
      <c r="A23" s="129" t="s">
        <v>41</v>
      </c>
      <c r="B23" s="130">
        <f>SUM(JANVIER2017:AOUT2017!AX25)</f>
        <v>779.43000000000006</v>
      </c>
      <c r="C23" s="130">
        <f>SUM(JANVIER2017:AOUT2017!AY25)</f>
        <v>738.79620853080587</v>
      </c>
    </row>
    <row r="24" spans="1:3" x14ac:dyDescent="0.25">
      <c r="A24" s="129" t="s">
        <v>42</v>
      </c>
      <c r="B24" s="130">
        <f>SUM(JANVIER2017:AOUT2017!AX26)</f>
        <v>652.27</v>
      </c>
      <c r="C24" s="130">
        <f>SUM(JANVIER2017:AOUT2017!AY26)</f>
        <v>618.26540284360181</v>
      </c>
    </row>
    <row r="25" spans="1:3" x14ac:dyDescent="0.25">
      <c r="A25" s="129" t="s">
        <v>43</v>
      </c>
      <c r="B25" s="130">
        <f>SUM(JANVIER2017:AOUT2017!AX27)</f>
        <v>280.78999999999996</v>
      </c>
      <c r="C25" s="130">
        <f>SUM(JANVIER2017:AOUT2017!AY27)</f>
        <v>266.15165876777252</v>
      </c>
    </row>
    <row r="26" spans="1:3" x14ac:dyDescent="0.25">
      <c r="A26" s="129" t="s">
        <v>44</v>
      </c>
      <c r="B26" s="130">
        <f>SUM(JANVIER2017:AOUT2017!AX28)</f>
        <v>0</v>
      </c>
      <c r="C26" s="130">
        <f>SUM(JANVIER2017:AOUT2017!AY28)</f>
        <v>0</v>
      </c>
    </row>
    <row r="27" spans="1:3" x14ac:dyDescent="0.25">
      <c r="A27" s="129" t="s">
        <v>179</v>
      </c>
      <c r="B27" s="130">
        <f>SUM(JANVIER2017:AOUT2017!AX29)</f>
        <v>0</v>
      </c>
      <c r="C27" s="130">
        <f>SUM(JANVIER2017:AOUT2017!AY29)</f>
        <v>0</v>
      </c>
    </row>
    <row r="28" spans="1:3" x14ac:dyDescent="0.25">
      <c r="A28" s="129" t="s">
        <v>180</v>
      </c>
      <c r="B28" s="130">
        <f>SUM(JANVIER2017:AOUT2017!AX30)</f>
        <v>197.78</v>
      </c>
      <c r="C28" s="130">
        <f>SUM(JANVIER2017:AOUT2017!AY30)</f>
        <v>187.46919431279622</v>
      </c>
    </row>
    <row r="29" spans="1:3" x14ac:dyDescent="0.25">
      <c r="A29" s="129" t="s">
        <v>191</v>
      </c>
      <c r="B29" s="130">
        <f>SUM(JANVIER2017:AOUT2017!AX31)</f>
        <v>0</v>
      </c>
      <c r="C29" s="130">
        <f>SUM(JANVIER2017:AOUT2017!AY31)</f>
        <v>0</v>
      </c>
    </row>
    <row r="30" spans="1:3" x14ac:dyDescent="0.25">
      <c r="A30" s="129" t="s">
        <v>201</v>
      </c>
      <c r="B30" s="130">
        <f>SUM(JANVIER2017:AOUT2017!AX32)</f>
        <v>10.96</v>
      </c>
      <c r="C30" s="130">
        <f>SUM(JANVIER2017:AOUT2017!AY32)</f>
        <v>10.388625592417062</v>
      </c>
    </row>
    <row r="31" spans="1:3" x14ac:dyDescent="0.25">
      <c r="A31" s="129" t="s">
        <v>264</v>
      </c>
      <c r="B31" s="130">
        <f>SUM(JANVIER2017:AOUT2017!AX33)</f>
        <v>852.0200000000001</v>
      </c>
      <c r="C31" s="130">
        <f>SUM(JANVIER2017:AOUT2017!AY33)</f>
        <v>807.60189573459729</v>
      </c>
    </row>
    <row r="32" spans="1:3" x14ac:dyDescent="0.25">
      <c r="A32" s="129" t="s">
        <v>132</v>
      </c>
      <c r="B32" s="130">
        <f>SUM(JANVIER2017:AOUT2017!AX34)</f>
        <v>975.06999999999994</v>
      </c>
      <c r="C32" s="130">
        <f>SUM(JANVIER2017:AOUT2017!AY34)</f>
        <v>924.23696682464458</v>
      </c>
    </row>
    <row r="33" spans="1:3" x14ac:dyDescent="0.25">
      <c r="A33" s="132" t="s">
        <v>46</v>
      </c>
      <c r="B33" s="133" t="s">
        <v>298</v>
      </c>
      <c r="C33" s="133" t="s">
        <v>297</v>
      </c>
    </row>
    <row r="34" spans="1:3" x14ac:dyDescent="0.25">
      <c r="A34" s="129" t="s">
        <v>47</v>
      </c>
      <c r="B34" s="131">
        <f>SUM(JANVIER2017:AOUT2017!AX36)</f>
        <v>376.25</v>
      </c>
      <c r="C34" s="131">
        <f>SUM(JANVIER2017:AOUT2017!AY36)</f>
        <v>356.6350710900474</v>
      </c>
    </row>
    <row r="35" spans="1:3" x14ac:dyDescent="0.25">
      <c r="A35" s="129" t="s">
        <v>48</v>
      </c>
      <c r="B35" s="131">
        <f>SUM(JANVIER2017:AOUT2017!AX37)</f>
        <v>134.69</v>
      </c>
      <c r="C35" s="131">
        <f>SUM(JANVIER2017:AOUT2017!AY37)</f>
        <v>127.66824644549763</v>
      </c>
    </row>
    <row r="36" spans="1:3" x14ac:dyDescent="0.25">
      <c r="A36" s="129" t="s">
        <v>49</v>
      </c>
      <c r="B36" s="131">
        <f>SUM(JANVIER2017:AOUT2017!AX38)</f>
        <v>0</v>
      </c>
      <c r="C36" s="131">
        <f>SUM(JANVIER2017:AOUT2017!AY38)</f>
        <v>0</v>
      </c>
    </row>
    <row r="37" spans="1:3" x14ac:dyDescent="0.25">
      <c r="A37" s="129" t="s">
        <v>50</v>
      </c>
      <c r="B37" s="131">
        <f>SUM(JANVIER2017:AOUT2017!AX39)</f>
        <v>165.77</v>
      </c>
      <c r="C37" s="131">
        <f>SUM(JANVIER2017:AOUT2017!AY39)</f>
        <v>157.12796208530807</v>
      </c>
    </row>
    <row r="38" spans="1:3" x14ac:dyDescent="0.25">
      <c r="A38" s="129" t="s">
        <v>51</v>
      </c>
      <c r="B38" s="131">
        <f>SUM(JANVIER2017:AOUT2017!AX40)</f>
        <v>5.09</v>
      </c>
      <c r="C38" s="131">
        <f>SUM(JANVIER2017:AOUT2017!AY40)</f>
        <v>4.8246445497630335</v>
      </c>
    </row>
    <row r="39" spans="1:3" x14ac:dyDescent="0.25">
      <c r="A39" s="129" t="s">
        <v>208</v>
      </c>
      <c r="B39" s="131">
        <f>SUM(JANVIER2017:AOUT2017!AX41)</f>
        <v>13.6</v>
      </c>
      <c r="C39" s="131">
        <f>SUM(JANVIER2017:AOUT2017!AY41)</f>
        <v>12.890995260663507</v>
      </c>
    </row>
    <row r="40" spans="1:3" x14ac:dyDescent="0.25">
      <c r="A40" s="129" t="s">
        <v>133</v>
      </c>
      <c r="B40" s="131">
        <f>SUM(JANVIER2017:AOUT2017!AX42)</f>
        <v>0</v>
      </c>
      <c r="C40" s="131">
        <f>SUM(JANVIER2017:AOUT2017!AY42)</f>
        <v>0</v>
      </c>
    </row>
    <row r="41" spans="1:3" x14ac:dyDescent="0.25">
      <c r="A41" s="129" t="s">
        <v>54</v>
      </c>
      <c r="B41" s="131">
        <f>SUM(JANVIER2017:AOUT2017!AX43)</f>
        <v>0</v>
      </c>
      <c r="C41" s="131">
        <f>SUM(JANVIER2017:AOUT2017!AY43)</f>
        <v>0</v>
      </c>
    </row>
    <row r="42" spans="1:3" x14ac:dyDescent="0.25">
      <c r="A42" s="129" t="s">
        <v>56</v>
      </c>
      <c r="B42" s="131">
        <f>SUM(JANVIER2017:AOUT2017!AX44)</f>
        <v>8.99</v>
      </c>
      <c r="C42" s="131">
        <f>SUM(JANVIER2017:AOUT2017!AY44)</f>
        <v>8.5213270142180093</v>
      </c>
    </row>
    <row r="43" spans="1:3" x14ac:dyDescent="0.25">
      <c r="A43" s="129" t="s">
        <v>57</v>
      </c>
      <c r="B43" s="131">
        <f>SUM(JANVIER2017:AOUT2017!AX45)</f>
        <v>77.86</v>
      </c>
      <c r="C43" s="131">
        <f>SUM(JANVIER2017:AOUT2017!AY45)</f>
        <v>73.800947867298589</v>
      </c>
    </row>
    <row r="44" spans="1:3" x14ac:dyDescent="0.25">
      <c r="A44" s="129" t="s">
        <v>58</v>
      </c>
      <c r="B44" s="131">
        <f>SUM(JANVIER2017:AOUT2017!AX46)</f>
        <v>73.52000000000001</v>
      </c>
      <c r="C44" s="131">
        <f>SUM(JANVIER2017:AOUT2017!AY46)</f>
        <v>69.687203791469216</v>
      </c>
    </row>
    <row r="45" spans="1:3" x14ac:dyDescent="0.25">
      <c r="A45" s="129" t="s">
        <v>110</v>
      </c>
      <c r="B45" s="131">
        <f>SUM(JANVIER2017:AOUT2017!AX47)</f>
        <v>125.1</v>
      </c>
      <c r="C45" s="131">
        <f>SUM(JANVIER2017:AOUT2017!AY47)</f>
        <v>118.57819905213272</v>
      </c>
    </row>
    <row r="46" spans="1:3" x14ac:dyDescent="0.25">
      <c r="A46" s="129" t="s">
        <v>111</v>
      </c>
      <c r="B46" s="131">
        <f>SUM(JANVIER2017:AOUT2017!AX48)</f>
        <v>39.709999999999994</v>
      </c>
      <c r="C46" s="131">
        <f>SUM(JANVIER2017:AOUT2017!AY48)</f>
        <v>37.639810426540286</v>
      </c>
    </row>
    <row r="47" spans="1:3" x14ac:dyDescent="0.25">
      <c r="A47" s="129" t="s">
        <v>112</v>
      </c>
      <c r="B47" s="131">
        <f>SUM(JANVIER2017:AOUT2017!AX49)</f>
        <v>0</v>
      </c>
      <c r="C47" s="131">
        <f>SUM(JANVIER2017:AOUT2017!AY49)</f>
        <v>0</v>
      </c>
    </row>
    <row r="48" spans="1:3" x14ac:dyDescent="0.25">
      <c r="A48" s="129" t="s">
        <v>203</v>
      </c>
      <c r="B48" s="131">
        <f>SUM(JANVIER2017:AOUT2017!AX50)</f>
        <v>153.19999999999999</v>
      </c>
      <c r="C48" s="131">
        <f>SUM(JANVIER2017:AOUT2017!AY50)</f>
        <v>145.21327014218011</v>
      </c>
    </row>
    <row r="49" spans="1:3" x14ac:dyDescent="0.25">
      <c r="A49" s="129" t="s">
        <v>134</v>
      </c>
      <c r="B49" s="131">
        <f>SUM(JANVIER2017:AOUT2017!AX51)</f>
        <v>127.18</v>
      </c>
      <c r="C49" s="131">
        <f>SUM(JANVIER2017:AOUT2017!AY51)</f>
        <v>120.54976303317538</v>
      </c>
    </row>
    <row r="50" spans="1:3" x14ac:dyDescent="0.25">
      <c r="A50" s="129" t="s">
        <v>204</v>
      </c>
      <c r="B50" s="131">
        <f>SUM(JANVIER2017:AOUT2017!AX52)</f>
        <v>314.12999999999994</v>
      </c>
      <c r="C50" s="131">
        <f>SUM(JANVIER2017:AOUT2017!AY52)</f>
        <v>297.7535545023697</v>
      </c>
    </row>
    <row r="51" spans="1:3" x14ac:dyDescent="0.25">
      <c r="A51" s="129" t="s">
        <v>220</v>
      </c>
      <c r="B51" s="131">
        <f>SUM(JANVIER2017:AOUT2017!AX53)</f>
        <v>217.05</v>
      </c>
      <c r="C51" s="131">
        <f>SUM(JANVIER2017:AOUT2017!AY53)</f>
        <v>205.73459715639817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A51"/>
  <sheetViews>
    <sheetView windowProtection="1" workbookViewId="0"/>
  </sheetViews>
  <sheetFormatPr baseColWidth="10" defaultRowHeight="15" x14ac:dyDescent="0.25"/>
  <cols>
    <col min="1" max="1" width="22" bestFit="1" customWidth="1"/>
  </cols>
  <sheetData>
    <row r="1" spans="1:1" x14ac:dyDescent="0.25">
      <c r="A1" s="134" t="s">
        <v>296</v>
      </c>
    </row>
    <row r="2" spans="1:1" x14ac:dyDescent="0.25">
      <c r="A2" s="129" t="s">
        <v>25</v>
      </c>
    </row>
    <row r="3" spans="1:1" x14ac:dyDescent="0.25">
      <c r="A3" s="129" t="s">
        <v>27</v>
      </c>
    </row>
    <row r="4" spans="1:1" x14ac:dyDescent="0.25">
      <c r="A4" s="129" t="s">
        <v>226</v>
      </c>
    </row>
    <row r="5" spans="1:1" x14ac:dyDescent="0.25">
      <c r="A5" s="129" t="s">
        <v>28</v>
      </c>
    </row>
    <row r="6" spans="1:1" x14ac:dyDescent="0.25">
      <c r="A6" s="129" t="s">
        <v>29</v>
      </c>
    </row>
    <row r="7" spans="1:1" x14ac:dyDescent="0.25">
      <c r="A7" s="129" t="s">
        <v>102</v>
      </c>
    </row>
    <row r="8" spans="1:1" x14ac:dyDescent="0.25">
      <c r="A8" s="129" t="s">
        <v>104</v>
      </c>
    </row>
    <row r="9" spans="1:1" x14ac:dyDescent="0.25">
      <c r="A9" s="129" t="s">
        <v>31</v>
      </c>
    </row>
    <row r="10" spans="1:1" x14ac:dyDescent="0.25">
      <c r="A10" s="129" t="s">
        <v>103</v>
      </c>
    </row>
    <row r="11" spans="1:1" x14ac:dyDescent="0.25">
      <c r="A11" s="129" t="s">
        <v>32</v>
      </c>
    </row>
    <row r="12" spans="1:1" x14ac:dyDescent="0.25">
      <c r="A12" s="129" t="s">
        <v>107</v>
      </c>
    </row>
    <row r="13" spans="1:1" x14ac:dyDescent="0.25">
      <c r="A13" s="129" t="s">
        <v>108</v>
      </c>
    </row>
    <row r="14" spans="1:1" x14ac:dyDescent="0.25">
      <c r="A14" s="129" t="s">
        <v>33</v>
      </c>
    </row>
    <row r="15" spans="1:1" x14ac:dyDescent="0.25">
      <c r="A15" s="129" t="s">
        <v>35</v>
      </c>
    </row>
    <row r="16" spans="1:1" x14ac:dyDescent="0.25">
      <c r="A16" s="129" t="s">
        <v>36</v>
      </c>
    </row>
    <row r="17" spans="1:1" x14ac:dyDescent="0.25">
      <c r="A17" s="129" t="s">
        <v>37</v>
      </c>
    </row>
    <row r="18" spans="1:1" x14ac:dyDescent="0.25">
      <c r="A18" s="129" t="s">
        <v>38</v>
      </c>
    </row>
    <row r="19" spans="1:1" x14ac:dyDescent="0.25">
      <c r="A19" s="129" t="s">
        <v>39</v>
      </c>
    </row>
    <row r="20" spans="1:1" x14ac:dyDescent="0.25">
      <c r="A20" s="129" t="s">
        <v>40</v>
      </c>
    </row>
    <row r="21" spans="1:1" x14ac:dyDescent="0.25">
      <c r="A21" s="129" t="s">
        <v>30</v>
      </c>
    </row>
    <row r="22" spans="1:1" x14ac:dyDescent="0.25">
      <c r="A22" s="129" t="s">
        <v>105</v>
      </c>
    </row>
    <row r="23" spans="1:1" x14ac:dyDescent="0.25">
      <c r="A23" s="129" t="s">
        <v>41</v>
      </c>
    </row>
    <row r="24" spans="1:1" x14ac:dyDescent="0.25">
      <c r="A24" s="129" t="s">
        <v>42</v>
      </c>
    </row>
    <row r="25" spans="1:1" x14ac:dyDescent="0.25">
      <c r="A25" s="129" t="s">
        <v>43</v>
      </c>
    </row>
    <row r="26" spans="1:1" x14ac:dyDescent="0.25">
      <c r="A26" s="129" t="s">
        <v>44</v>
      </c>
    </row>
    <row r="27" spans="1:1" x14ac:dyDescent="0.25">
      <c r="A27" s="129" t="s">
        <v>179</v>
      </c>
    </row>
    <row r="28" spans="1:1" x14ac:dyDescent="0.25">
      <c r="A28" s="129" t="s">
        <v>180</v>
      </c>
    </row>
    <row r="29" spans="1:1" x14ac:dyDescent="0.25">
      <c r="A29" s="129" t="s">
        <v>191</v>
      </c>
    </row>
    <row r="30" spans="1:1" x14ac:dyDescent="0.25">
      <c r="A30" s="129" t="s">
        <v>201</v>
      </c>
    </row>
    <row r="31" spans="1:1" x14ac:dyDescent="0.25">
      <c r="A31" s="129" t="s">
        <v>264</v>
      </c>
    </row>
    <row r="32" spans="1:1" x14ac:dyDescent="0.25">
      <c r="A32" s="129" t="s">
        <v>132</v>
      </c>
    </row>
    <row r="33" spans="1:1" x14ac:dyDescent="0.25">
      <c r="A33" s="132" t="s">
        <v>46</v>
      </c>
    </row>
    <row r="34" spans="1:1" x14ac:dyDescent="0.25">
      <c r="A34" s="129" t="s">
        <v>47</v>
      </c>
    </row>
    <row r="35" spans="1:1" x14ac:dyDescent="0.25">
      <c r="A35" s="129" t="s">
        <v>48</v>
      </c>
    </row>
    <row r="36" spans="1:1" x14ac:dyDescent="0.25">
      <c r="A36" s="129" t="s">
        <v>49</v>
      </c>
    </row>
    <row r="37" spans="1:1" x14ac:dyDescent="0.25">
      <c r="A37" s="129" t="s">
        <v>50</v>
      </c>
    </row>
    <row r="38" spans="1:1" x14ac:dyDescent="0.25">
      <c r="A38" s="129" t="s">
        <v>51</v>
      </c>
    </row>
    <row r="39" spans="1:1" x14ac:dyDescent="0.25">
      <c r="A39" s="129" t="s">
        <v>208</v>
      </c>
    </row>
    <row r="40" spans="1:1" x14ac:dyDescent="0.25">
      <c r="A40" s="129" t="s">
        <v>133</v>
      </c>
    </row>
    <row r="41" spans="1:1" x14ac:dyDescent="0.25">
      <c r="A41" s="129" t="s">
        <v>54</v>
      </c>
    </row>
    <row r="42" spans="1:1" x14ac:dyDescent="0.25">
      <c r="A42" s="129" t="s">
        <v>56</v>
      </c>
    </row>
    <row r="43" spans="1:1" x14ac:dyDescent="0.25">
      <c r="A43" s="129" t="s">
        <v>57</v>
      </c>
    </row>
    <row r="44" spans="1:1" x14ac:dyDescent="0.25">
      <c r="A44" s="129" t="s">
        <v>58</v>
      </c>
    </row>
    <row r="45" spans="1:1" x14ac:dyDescent="0.25">
      <c r="A45" s="129" t="s">
        <v>110</v>
      </c>
    </row>
    <row r="46" spans="1:1" x14ac:dyDescent="0.25">
      <c r="A46" s="129" t="s">
        <v>111</v>
      </c>
    </row>
    <row r="47" spans="1:1" x14ac:dyDescent="0.25">
      <c r="A47" s="129" t="s">
        <v>112</v>
      </c>
    </row>
    <row r="48" spans="1:1" x14ac:dyDescent="0.25">
      <c r="A48" s="129" t="s">
        <v>203</v>
      </c>
    </row>
    <row r="49" spans="1:1" x14ac:dyDescent="0.25">
      <c r="A49" s="129" t="s">
        <v>134</v>
      </c>
    </row>
    <row r="50" spans="1:1" x14ac:dyDescent="0.25">
      <c r="A50" s="129" t="s">
        <v>204</v>
      </c>
    </row>
    <row r="51" spans="1:1" x14ac:dyDescent="0.25">
      <c r="A51" s="129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FF"/>
  </sheetPr>
  <dimension ref="A1:AW66"/>
  <sheetViews>
    <sheetView windowProtection="1" zoomScaleNormal="100" workbookViewId="0">
      <pane xSplit="2" ySplit="2" topLeftCell="AG29" activePane="bottomRight" state="frozen"/>
      <selection pane="topRight" activeCell="AG1" sqref="AG1"/>
      <selection pane="bottomLeft" activeCell="A29" sqref="A29"/>
      <selection pane="bottomRight" activeCell="Q1" sqref="Q1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0" width="10.85546875" style="2"/>
    <col min="11" max="11" width="8.7109375" style="1"/>
    <col min="12" max="12" width="10.140625" style="2"/>
    <col min="13" max="13" width="8.7109375" style="1"/>
    <col min="14" max="14" width="11.425781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4257812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11.42578125"/>
    <col min="48" max="48" width="11.85546875" style="52"/>
    <col min="49" max="49" width="11.42578125" style="52"/>
    <col min="50" max="1025" width="10.7109375"/>
  </cols>
  <sheetData>
    <row r="1" spans="1:49" s="6" customFormat="1" ht="28.5" customHeight="1" x14ac:dyDescent="0.25">
      <c r="A1" s="3"/>
      <c r="B1" s="4" t="s">
        <v>0</v>
      </c>
      <c r="C1" s="136" t="s">
        <v>80</v>
      </c>
      <c r="D1" s="136"/>
      <c r="E1" s="136" t="s">
        <v>81</v>
      </c>
      <c r="F1" s="136"/>
      <c r="G1" s="136" t="s">
        <v>82</v>
      </c>
      <c r="H1" s="136"/>
      <c r="I1" s="136" t="s">
        <v>83</v>
      </c>
      <c r="J1" s="136"/>
      <c r="K1" s="136" t="s">
        <v>84</v>
      </c>
      <c r="L1" s="136"/>
      <c r="M1" s="136" t="s">
        <v>85</v>
      </c>
      <c r="N1" s="136"/>
      <c r="O1" s="136" t="s">
        <v>86</v>
      </c>
      <c r="P1" s="136"/>
      <c r="Q1" s="136" t="s">
        <v>87</v>
      </c>
      <c r="R1" s="136"/>
      <c r="S1" s="136" t="s">
        <v>88</v>
      </c>
      <c r="T1" s="136"/>
      <c r="U1" s="136" t="s">
        <v>89</v>
      </c>
      <c r="V1" s="136"/>
      <c r="W1" s="136" t="s">
        <v>90</v>
      </c>
      <c r="X1" s="136"/>
      <c r="Y1" s="136" t="s">
        <v>91</v>
      </c>
      <c r="Z1" s="136"/>
      <c r="AA1" s="136" t="s">
        <v>92</v>
      </c>
      <c r="AB1" s="136"/>
      <c r="AC1" s="136" t="s">
        <v>93</v>
      </c>
      <c r="AD1" s="136"/>
      <c r="AE1" s="136" t="s">
        <v>94</v>
      </c>
      <c r="AF1" s="136"/>
      <c r="AG1" s="136" t="s">
        <v>95</v>
      </c>
      <c r="AH1" s="136"/>
      <c r="AI1" s="136" t="s">
        <v>96</v>
      </c>
      <c r="AJ1" s="136"/>
      <c r="AK1" s="136" t="s">
        <v>97</v>
      </c>
      <c r="AL1" s="136"/>
      <c r="AM1" s="136" t="s">
        <v>98</v>
      </c>
      <c r="AN1" s="136"/>
      <c r="AO1" s="136" t="s">
        <v>99</v>
      </c>
      <c r="AP1" s="136"/>
      <c r="AQ1" s="136" t="s">
        <v>100</v>
      </c>
      <c r="AR1" s="136"/>
      <c r="AS1" s="136" t="s">
        <v>101</v>
      </c>
      <c r="AT1" s="136"/>
      <c r="AV1" s="137" t="s">
        <v>20</v>
      </c>
      <c r="AW1" s="141" t="s">
        <v>21</v>
      </c>
    </row>
    <row r="2" spans="1:49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9" t="s">
        <v>22</v>
      </c>
      <c r="L2" s="10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V2" s="137"/>
      <c r="AW2" s="141"/>
    </row>
    <row r="3" spans="1:49" s="18" customFormat="1" x14ac:dyDescent="0.25">
      <c r="A3" s="12" t="s">
        <v>24</v>
      </c>
      <c r="B3" s="13"/>
      <c r="C3" s="14"/>
      <c r="D3" s="15">
        <f>SUM(D4:D28)</f>
        <v>218.5</v>
      </c>
      <c r="E3" s="14"/>
      <c r="F3" s="15">
        <f>SUM(F4:F28)</f>
        <v>1019.5</v>
      </c>
      <c r="G3" s="14"/>
      <c r="H3" s="15">
        <f>SUM(H4:H28)</f>
        <v>409.5</v>
      </c>
      <c r="I3" s="14"/>
      <c r="J3" s="15">
        <f>SUM(J4:J28)</f>
        <v>980.68000000000006</v>
      </c>
      <c r="K3" s="14"/>
      <c r="L3" s="15">
        <f>SUM(L4:L28)</f>
        <v>71.5</v>
      </c>
      <c r="M3" s="14"/>
      <c r="N3" s="15">
        <f>SUM(N4:N28)</f>
        <v>301.8</v>
      </c>
      <c r="O3" s="14"/>
      <c r="P3" s="15">
        <f>SUM(P4:P28)</f>
        <v>1273.6699999999998</v>
      </c>
      <c r="Q3" s="14"/>
      <c r="R3" s="15">
        <f>SUM(R4:R28)</f>
        <v>480.65</v>
      </c>
      <c r="S3" s="14"/>
      <c r="T3" s="15">
        <f>SUM(T4:T28)</f>
        <v>1009.8900000000001</v>
      </c>
      <c r="U3" s="14"/>
      <c r="V3" s="15">
        <f>SUM(V4:V28)</f>
        <v>30</v>
      </c>
      <c r="W3" s="14"/>
      <c r="X3" s="15">
        <f>SUM(X4:X28)</f>
        <v>322.39999999999998</v>
      </c>
      <c r="Y3" s="14"/>
      <c r="Z3" s="15">
        <f>SUM(Z4:Z28)</f>
        <v>1104.0800000000002</v>
      </c>
      <c r="AA3" s="14"/>
      <c r="AB3" s="15">
        <f>SUM(AB4:AB28)</f>
        <v>523.29999999999995</v>
      </c>
      <c r="AC3" s="14"/>
      <c r="AD3" s="15">
        <f>SUM(AD4:AD28)</f>
        <v>82</v>
      </c>
      <c r="AE3" s="14"/>
      <c r="AF3" s="15">
        <f>SUM(AF4:AF28)</f>
        <v>1223.79</v>
      </c>
      <c r="AG3" s="14"/>
      <c r="AH3" s="15">
        <f>SUM(AH4:AH28)</f>
        <v>378.99</v>
      </c>
      <c r="AI3" s="14"/>
      <c r="AJ3" s="15">
        <f>SUM(AJ4:AJ28)</f>
        <v>1238.3200000000002</v>
      </c>
      <c r="AK3" s="14"/>
      <c r="AL3" s="15">
        <f>SUM(AL4:AL28)</f>
        <v>570.83999999999992</v>
      </c>
      <c r="AM3" s="14"/>
      <c r="AN3" s="15">
        <f>SUM(AN4:AN28)</f>
        <v>926.5100000000001</v>
      </c>
      <c r="AO3" s="14"/>
      <c r="AP3" s="15">
        <f>SUM(AP4:AP28)</f>
        <v>79</v>
      </c>
      <c r="AQ3" s="14"/>
      <c r="AR3" s="15">
        <f>SUM(AR4:AR28)</f>
        <v>362.9</v>
      </c>
      <c r="AS3" s="14"/>
      <c r="AT3" s="15">
        <f>SUM(AT4:AT28)</f>
        <v>1025.5200000000002</v>
      </c>
      <c r="AV3" s="53">
        <f t="shared" ref="AV3:AV34" si="0">SUM(AT3,AR3,AP3,AN3,AL3,AJ3,AH3,AF3,AD3,AB3,Z3,X3,V3,T3,R3,P3,N3,L3,J3,H3,F3,D3)</f>
        <v>13633.339999999998</v>
      </c>
      <c r="AW3" s="54">
        <f t="shared" ref="AW3:AW34" si="1">AV3/1.055</f>
        <v>12922.597156398104</v>
      </c>
    </row>
    <row r="4" spans="1:49" x14ac:dyDescent="0.25">
      <c r="A4" s="19" t="s">
        <v>25</v>
      </c>
      <c r="B4" s="20" t="s">
        <v>26</v>
      </c>
      <c r="C4" s="21">
        <v>37</v>
      </c>
      <c r="D4" s="22">
        <v>129.5</v>
      </c>
      <c r="E4" s="21">
        <v>180</v>
      </c>
      <c r="F4" s="22">
        <v>610.5</v>
      </c>
      <c r="G4" s="21">
        <v>40</v>
      </c>
      <c r="H4" s="22">
        <v>140</v>
      </c>
      <c r="I4" s="21">
        <f>15+2*3+3*12+3</f>
        <v>60</v>
      </c>
      <c r="J4" s="22">
        <f>52.5+21+120+9.9</f>
        <v>203.4</v>
      </c>
      <c r="K4" s="21"/>
      <c r="L4" s="22"/>
      <c r="M4" s="21">
        <v>14</v>
      </c>
      <c r="N4" s="22">
        <v>49</v>
      </c>
      <c r="O4" s="21">
        <f>10+2*5+3*5</f>
        <v>35</v>
      </c>
      <c r="P4" s="22">
        <f>35+35+50</f>
        <v>120</v>
      </c>
      <c r="Q4" s="21"/>
      <c r="R4" s="22"/>
      <c r="S4" s="21">
        <f>7+4*2+3*5+1</f>
        <v>31</v>
      </c>
      <c r="T4" s="22">
        <f>24.5+28+50+3.3</f>
        <v>105.8</v>
      </c>
      <c r="U4" s="21"/>
      <c r="V4" s="22"/>
      <c r="W4" s="21">
        <v>11</v>
      </c>
      <c r="X4" s="22">
        <v>38.5</v>
      </c>
      <c r="Y4" s="21">
        <f>3+2</f>
        <v>5</v>
      </c>
      <c r="Z4" s="22">
        <f>10+6.6</f>
        <v>16.600000000000001</v>
      </c>
      <c r="AA4" s="21"/>
      <c r="AB4" s="22"/>
      <c r="AC4" s="21"/>
      <c r="AD4" s="22"/>
      <c r="AE4" s="21">
        <v>53</v>
      </c>
      <c r="AF4" s="22">
        <v>183</v>
      </c>
      <c r="AG4" s="21">
        <v>19</v>
      </c>
      <c r="AH4" s="22">
        <v>66.5</v>
      </c>
      <c r="AI4" s="21">
        <v>1</v>
      </c>
      <c r="AJ4" s="22">
        <v>10</v>
      </c>
      <c r="AK4" s="21">
        <v>37</v>
      </c>
      <c r="AL4" s="22">
        <v>129.5</v>
      </c>
      <c r="AM4" s="21">
        <f>29+7*2+3*10+6</f>
        <v>79</v>
      </c>
      <c r="AN4" s="22">
        <f>101.5+49+100+19.8+1</f>
        <v>271.3</v>
      </c>
      <c r="AO4" s="21">
        <v>7</v>
      </c>
      <c r="AP4" s="22">
        <v>20.25</v>
      </c>
      <c r="AQ4" s="21">
        <v>35</v>
      </c>
      <c r="AR4" s="22">
        <v>122.5</v>
      </c>
      <c r="AS4" s="21">
        <f>34+21*2+5*3+2</f>
        <v>93</v>
      </c>
      <c r="AT4" s="22">
        <f>119+147+50+6.6</f>
        <v>322.60000000000002</v>
      </c>
      <c r="AV4" s="55">
        <f t="shared" si="0"/>
        <v>2538.9499999999998</v>
      </c>
      <c r="AW4" s="56">
        <f t="shared" si="1"/>
        <v>2406.5876777251183</v>
      </c>
    </row>
    <row r="5" spans="1:49" x14ac:dyDescent="0.25">
      <c r="A5" s="19" t="s">
        <v>27</v>
      </c>
      <c r="B5" s="20" t="s">
        <v>26</v>
      </c>
      <c r="C5" s="21">
        <v>17</v>
      </c>
      <c r="D5" s="22">
        <v>56</v>
      </c>
      <c r="E5" s="21">
        <v>110</v>
      </c>
      <c r="F5" s="22">
        <v>355</v>
      </c>
      <c r="G5" s="21">
        <v>55</v>
      </c>
      <c r="H5" s="22">
        <v>201.5</v>
      </c>
      <c r="I5" s="21">
        <f>23+2*12+3*17+6</f>
        <v>104</v>
      </c>
      <c r="J5" s="22">
        <f>75.9+79.2+161.5+18.6</f>
        <v>335.20000000000005</v>
      </c>
      <c r="K5" s="21"/>
      <c r="L5" s="22"/>
      <c r="M5" s="21">
        <v>16</v>
      </c>
      <c r="N5" s="22">
        <v>49.5</v>
      </c>
      <c r="O5" s="21">
        <f>19+2*12+3*15+5</f>
        <v>93</v>
      </c>
      <c r="P5" s="22">
        <f>62.7+79.2+142.5+15.5</f>
        <v>299.89999999999998</v>
      </c>
      <c r="Q5" s="21"/>
      <c r="R5" s="22"/>
      <c r="S5" s="21">
        <f>14+2*10+3*19+2</f>
        <v>93</v>
      </c>
      <c r="T5" s="22">
        <f>46.2+66+180.5+6.2</f>
        <v>298.89999999999998</v>
      </c>
      <c r="U5" s="21"/>
      <c r="V5" s="22"/>
      <c r="W5" s="21">
        <v>23</v>
      </c>
      <c r="X5" s="22">
        <v>75.900000000000006</v>
      </c>
      <c r="Y5" s="21">
        <f>23+2*22+3*15+3</f>
        <v>115</v>
      </c>
      <c r="Z5" s="22">
        <f>75.9+145.2+142.5+9.3</f>
        <v>372.90000000000003</v>
      </c>
      <c r="AA5" s="21"/>
      <c r="AB5" s="22"/>
      <c r="AC5" s="21"/>
      <c r="AD5" s="22"/>
      <c r="AE5" s="21">
        <v>132</v>
      </c>
      <c r="AF5" s="22">
        <v>425</v>
      </c>
      <c r="AG5" s="21"/>
      <c r="AH5" s="22">
        <v>52.8</v>
      </c>
      <c r="AI5" s="21">
        <f>39+2*29+3*23+2</f>
        <v>168</v>
      </c>
      <c r="AJ5" s="22">
        <f>128.7+191.4+218.5+6.2</f>
        <v>544.80000000000007</v>
      </c>
      <c r="AK5" s="21">
        <v>38</v>
      </c>
      <c r="AL5" s="22">
        <v>125.4</v>
      </c>
      <c r="AM5" s="21">
        <f>12+14+30+3</f>
        <v>59</v>
      </c>
      <c r="AN5" s="22">
        <f>39.6+46.2+95+9.3</f>
        <v>190.10000000000002</v>
      </c>
      <c r="AO5" s="21">
        <v>4</v>
      </c>
      <c r="AP5" s="22">
        <v>11.25</v>
      </c>
      <c r="AQ5" s="21">
        <v>8</v>
      </c>
      <c r="AR5" s="22">
        <v>26.4</v>
      </c>
      <c r="AS5" s="21">
        <f>23+2*11+3*10</f>
        <v>75</v>
      </c>
      <c r="AT5" s="22">
        <f>75.9+72.6+95</f>
        <v>243.5</v>
      </c>
      <c r="AV5" s="55">
        <f t="shared" si="0"/>
        <v>3664.05</v>
      </c>
      <c r="AW5" s="56">
        <f t="shared" si="1"/>
        <v>3473.0331753554506</v>
      </c>
    </row>
    <row r="6" spans="1:49" x14ac:dyDescent="0.25">
      <c r="A6" s="19" t="s">
        <v>28</v>
      </c>
      <c r="B6" s="20" t="s">
        <v>26</v>
      </c>
      <c r="C6" s="21"/>
      <c r="D6" s="22"/>
      <c r="E6" s="21"/>
      <c r="F6" s="22"/>
      <c r="G6" s="21"/>
      <c r="H6" s="22"/>
      <c r="I6" s="21">
        <f>16+26</f>
        <v>42</v>
      </c>
      <c r="J6" s="22">
        <f>41.6+66</f>
        <v>107.6</v>
      </c>
      <c r="K6" s="21"/>
      <c r="L6" s="22">
        <v>53.5</v>
      </c>
      <c r="M6" s="21"/>
      <c r="N6" s="22"/>
      <c r="O6" s="21"/>
      <c r="P6" s="22">
        <v>175</v>
      </c>
      <c r="Q6" s="21">
        <v>70</v>
      </c>
      <c r="R6" s="22">
        <v>231</v>
      </c>
      <c r="S6" s="21">
        <v>29</v>
      </c>
      <c r="T6" s="22">
        <v>97.3</v>
      </c>
      <c r="U6" s="21">
        <v>3</v>
      </c>
      <c r="V6" s="22">
        <v>9</v>
      </c>
      <c r="W6" s="21"/>
      <c r="X6" s="22"/>
      <c r="Y6" s="21"/>
      <c r="Z6" s="22"/>
      <c r="AA6" s="21"/>
      <c r="AB6" s="22">
        <v>267.3</v>
      </c>
      <c r="AC6" s="21"/>
      <c r="AD6" s="22">
        <v>70</v>
      </c>
      <c r="AE6" s="21">
        <v>30</v>
      </c>
      <c r="AF6" s="22">
        <v>99</v>
      </c>
      <c r="AG6" s="24"/>
      <c r="AH6" s="22"/>
      <c r="AI6" s="21">
        <v>22</v>
      </c>
      <c r="AJ6" s="22">
        <v>72.25</v>
      </c>
      <c r="AK6" s="21"/>
      <c r="AL6" s="22"/>
      <c r="AM6" s="21"/>
      <c r="AN6" s="22"/>
      <c r="AO6" s="21"/>
      <c r="AP6" s="22">
        <v>47.5</v>
      </c>
      <c r="AQ6" s="21"/>
      <c r="AR6" s="22">
        <v>9.5</v>
      </c>
      <c r="AS6" s="21"/>
      <c r="AT6" s="22">
        <v>30</v>
      </c>
      <c r="AV6" s="55">
        <f t="shared" si="0"/>
        <v>1268.9499999999998</v>
      </c>
      <c r="AW6" s="56">
        <f t="shared" si="1"/>
        <v>1202.7962085308056</v>
      </c>
    </row>
    <row r="7" spans="1:49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>
        <v>19</v>
      </c>
      <c r="J7" s="22">
        <v>38</v>
      </c>
      <c r="K7" s="21"/>
      <c r="L7" s="22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>
        <v>3.3</v>
      </c>
      <c r="AM7" s="21"/>
      <c r="AN7" s="22"/>
      <c r="AO7" s="21"/>
      <c r="AP7" s="22"/>
      <c r="AQ7" s="21"/>
      <c r="AR7" s="22"/>
      <c r="AS7" s="21"/>
      <c r="AT7" s="22"/>
      <c r="AV7" s="55">
        <f t="shared" si="0"/>
        <v>41.3</v>
      </c>
      <c r="AW7" s="56">
        <f t="shared" si="1"/>
        <v>39.14691943127962</v>
      </c>
    </row>
    <row r="8" spans="1:49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>
        <v>1</v>
      </c>
      <c r="R8" s="22">
        <v>3</v>
      </c>
      <c r="S8" s="21"/>
      <c r="T8" s="22"/>
      <c r="U8" s="21"/>
      <c r="V8" s="22"/>
      <c r="W8" s="21"/>
      <c r="X8" s="22"/>
      <c r="Y8" s="21"/>
      <c r="Z8" s="22"/>
      <c r="AA8" s="21">
        <v>1</v>
      </c>
      <c r="AB8" s="22">
        <v>3</v>
      </c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V8" s="55">
        <f t="shared" si="0"/>
        <v>6</v>
      </c>
      <c r="AW8" s="56">
        <f t="shared" si="1"/>
        <v>5.6872037914691944</v>
      </c>
    </row>
    <row r="9" spans="1:49" x14ac:dyDescent="0.25">
      <c r="A9" s="19" t="s">
        <v>30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>
        <v>4.5</v>
      </c>
      <c r="AM9" s="21"/>
      <c r="AN9" s="22"/>
      <c r="AO9" s="21"/>
      <c r="AP9" s="22"/>
      <c r="AQ9" s="21"/>
      <c r="AR9" s="22">
        <v>2.5</v>
      </c>
      <c r="AS9" s="21">
        <v>3</v>
      </c>
      <c r="AT9" s="22">
        <v>11.1</v>
      </c>
      <c r="AV9" s="55">
        <f t="shared" si="0"/>
        <v>18.100000000000001</v>
      </c>
      <c r="AW9" s="56">
        <f t="shared" si="1"/>
        <v>17.156398104265406</v>
      </c>
    </row>
    <row r="10" spans="1:49" x14ac:dyDescent="0.25">
      <c r="A10" s="19" t="s">
        <v>31</v>
      </c>
      <c r="B10" s="20" t="s">
        <v>26</v>
      </c>
      <c r="C10" s="21"/>
      <c r="D10" s="22"/>
      <c r="E10" s="21"/>
      <c r="F10" s="22"/>
      <c r="G10" s="21">
        <v>1</v>
      </c>
      <c r="H10" s="22">
        <v>3</v>
      </c>
      <c r="I10" s="21">
        <v>4</v>
      </c>
      <c r="J10" s="22">
        <v>14</v>
      </c>
      <c r="K10" s="21"/>
      <c r="L10" s="22"/>
      <c r="M10" s="21"/>
      <c r="N10" s="22"/>
      <c r="O10" s="21">
        <v>8</v>
      </c>
      <c r="P10" s="22">
        <v>28</v>
      </c>
      <c r="Q10" s="21">
        <v>4</v>
      </c>
      <c r="R10" s="22">
        <v>12</v>
      </c>
      <c r="S10" s="21">
        <v>22</v>
      </c>
      <c r="T10" s="22">
        <v>77</v>
      </c>
      <c r="U10" s="21"/>
      <c r="V10" s="22"/>
      <c r="W10" s="21"/>
      <c r="X10" s="22"/>
      <c r="Y10" s="21">
        <v>10</v>
      </c>
      <c r="Z10" s="22">
        <v>35</v>
      </c>
      <c r="AA10" s="21">
        <v>10</v>
      </c>
      <c r="AB10" s="22">
        <v>30</v>
      </c>
      <c r="AC10" s="21"/>
      <c r="AD10" s="22"/>
      <c r="AE10" s="21">
        <v>20</v>
      </c>
      <c r="AF10" s="22">
        <v>70</v>
      </c>
      <c r="AG10" s="21"/>
      <c r="AH10" s="22"/>
      <c r="AI10" s="21">
        <v>14</v>
      </c>
      <c r="AJ10" s="22">
        <v>49</v>
      </c>
      <c r="AK10" s="21">
        <v>5</v>
      </c>
      <c r="AL10" s="22">
        <v>17.5</v>
      </c>
      <c r="AM10" s="21">
        <v>22</v>
      </c>
      <c r="AN10" s="22">
        <v>77</v>
      </c>
      <c r="AO10" s="21"/>
      <c r="AP10" s="22"/>
      <c r="AQ10" s="21"/>
      <c r="AR10" s="22"/>
      <c r="AS10" s="21">
        <v>17</v>
      </c>
      <c r="AT10" s="22">
        <v>59.5</v>
      </c>
      <c r="AV10" s="55">
        <f t="shared" si="0"/>
        <v>472</v>
      </c>
      <c r="AW10" s="56">
        <f t="shared" si="1"/>
        <v>447.39336492890999</v>
      </c>
    </row>
    <row r="11" spans="1:49" x14ac:dyDescent="0.25">
      <c r="A11" s="19" t="s">
        <v>103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>
        <v>2</v>
      </c>
      <c r="P11" s="22">
        <v>5.8</v>
      </c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>
        <v>30</v>
      </c>
      <c r="AT11" s="22">
        <v>87</v>
      </c>
      <c r="AV11" s="55">
        <f t="shared" si="0"/>
        <v>92.8</v>
      </c>
      <c r="AW11" s="56">
        <f t="shared" si="1"/>
        <v>87.962085308056871</v>
      </c>
    </row>
    <row r="12" spans="1:49" x14ac:dyDescent="0.25">
      <c r="A12" s="19" t="s">
        <v>104</v>
      </c>
      <c r="B12" s="20" t="s">
        <v>26</v>
      </c>
      <c r="C12" s="21"/>
      <c r="D12" s="22"/>
      <c r="E12" s="21"/>
      <c r="F12" s="22"/>
      <c r="G12" s="21"/>
      <c r="H12" s="22"/>
      <c r="I12" s="21">
        <v>8</v>
      </c>
      <c r="J12" s="22">
        <v>23.2</v>
      </c>
      <c r="K12" s="21"/>
      <c r="L12" s="22">
        <v>5</v>
      </c>
      <c r="M12" s="21">
        <v>3</v>
      </c>
      <c r="N12" s="22">
        <v>9</v>
      </c>
      <c r="O12" s="21">
        <v>4</v>
      </c>
      <c r="P12" s="22">
        <v>11.6</v>
      </c>
      <c r="Q12" s="21">
        <v>1</v>
      </c>
      <c r="R12" s="22">
        <v>2.9</v>
      </c>
      <c r="S12" s="21">
        <v>6</v>
      </c>
      <c r="T12" s="22">
        <v>17.399999999999999</v>
      </c>
      <c r="U12" s="21">
        <v>1</v>
      </c>
      <c r="V12" s="22">
        <v>2.5</v>
      </c>
      <c r="W12" s="21"/>
      <c r="X12" s="22"/>
      <c r="Y12" s="21">
        <v>16</v>
      </c>
      <c r="Z12" s="22">
        <v>46.4</v>
      </c>
      <c r="AA12" s="21"/>
      <c r="AB12" s="22"/>
      <c r="AC12" s="21"/>
      <c r="AD12" s="22"/>
      <c r="AE12" s="21">
        <v>7</v>
      </c>
      <c r="AF12" s="22">
        <v>20.3</v>
      </c>
      <c r="AG12" s="21"/>
      <c r="AH12" s="22"/>
      <c r="AI12" s="21">
        <v>6</v>
      </c>
      <c r="AJ12" s="22">
        <v>17.399999999999999</v>
      </c>
      <c r="AK12" s="21"/>
      <c r="AL12" s="22"/>
      <c r="AM12" s="21">
        <v>2</v>
      </c>
      <c r="AN12" s="22">
        <v>5.8</v>
      </c>
      <c r="AO12" s="21"/>
      <c r="AP12" s="22"/>
      <c r="AQ12" s="21"/>
      <c r="AR12" s="22"/>
      <c r="AS12" s="21">
        <v>3</v>
      </c>
      <c r="AT12" s="22">
        <v>8.6999999999999993</v>
      </c>
      <c r="AV12" s="55">
        <f t="shared" si="0"/>
        <v>170.2</v>
      </c>
      <c r="AW12" s="56">
        <f t="shared" si="1"/>
        <v>161.32701421800948</v>
      </c>
    </row>
    <row r="13" spans="1:49" x14ac:dyDescent="0.25">
      <c r="A13" s="19" t="s">
        <v>105</v>
      </c>
      <c r="B13" s="20" t="s">
        <v>26</v>
      </c>
      <c r="C13" s="21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  <c r="U13" s="21"/>
      <c r="V13" s="22"/>
      <c r="W13" s="21">
        <v>2</v>
      </c>
      <c r="X13" s="22">
        <v>4</v>
      </c>
      <c r="Y13" s="21"/>
      <c r="Z13" s="22"/>
      <c r="AA13" s="21"/>
      <c r="AB13" s="22"/>
      <c r="AC13" s="21"/>
      <c r="AD13" s="22"/>
      <c r="AE13" s="21"/>
      <c r="AF13" s="22"/>
      <c r="AG13" s="21"/>
      <c r="AH13" s="22"/>
      <c r="AI13" s="21"/>
      <c r="AJ13" s="22"/>
      <c r="AK13" s="21"/>
      <c r="AL13" s="22"/>
      <c r="AM13" s="21"/>
      <c r="AN13" s="22"/>
      <c r="AO13" s="21"/>
      <c r="AP13" s="22"/>
      <c r="AQ13" s="21"/>
      <c r="AR13" s="22"/>
      <c r="AS13" s="21"/>
      <c r="AT13" s="22"/>
      <c r="AV13" s="55">
        <f t="shared" si="0"/>
        <v>4</v>
      </c>
      <c r="AW13" s="56">
        <f t="shared" si="1"/>
        <v>3.7914691943127963</v>
      </c>
    </row>
    <row r="14" spans="1:49" x14ac:dyDescent="0.25">
      <c r="A14" s="19" t="s">
        <v>32</v>
      </c>
      <c r="B14" s="20" t="s">
        <v>106</v>
      </c>
      <c r="C14" s="21">
        <v>6</v>
      </c>
      <c r="D14" s="22">
        <v>33</v>
      </c>
      <c r="E14" s="21">
        <v>8</v>
      </c>
      <c r="F14" s="22">
        <v>54</v>
      </c>
      <c r="G14" s="21">
        <v>13</v>
      </c>
      <c r="H14" s="22">
        <v>65</v>
      </c>
      <c r="I14" s="21">
        <v>16</v>
      </c>
      <c r="J14" s="22">
        <v>104</v>
      </c>
      <c r="K14" s="21"/>
      <c r="L14" s="22">
        <v>13</v>
      </c>
      <c r="M14" s="25">
        <v>19.5</v>
      </c>
      <c r="N14" s="22">
        <v>194.3</v>
      </c>
      <c r="O14" s="21">
        <v>32</v>
      </c>
      <c r="P14" s="22">
        <f>208+151</f>
        <v>359</v>
      </c>
      <c r="Q14" s="21">
        <v>42</v>
      </c>
      <c r="R14" s="22">
        <v>231.75</v>
      </c>
      <c r="S14" s="21">
        <v>3</v>
      </c>
      <c r="T14" s="22">
        <v>33</v>
      </c>
      <c r="U14" s="21"/>
      <c r="V14" s="22">
        <v>18.5</v>
      </c>
      <c r="W14" s="21">
        <v>26</v>
      </c>
      <c r="X14" s="22">
        <v>204</v>
      </c>
      <c r="Y14" s="21">
        <f>33+12</f>
        <v>45</v>
      </c>
      <c r="Z14" s="22">
        <f>181.5+66</f>
        <v>247.5</v>
      </c>
      <c r="AA14" s="21"/>
      <c r="AB14" s="22">
        <v>223</v>
      </c>
      <c r="AC14" s="21"/>
      <c r="AD14" s="22">
        <v>12</v>
      </c>
      <c r="AE14" s="21">
        <v>17</v>
      </c>
      <c r="AF14" s="22">
        <v>93.5</v>
      </c>
      <c r="AG14" s="21"/>
      <c r="AH14" s="22">
        <v>245</v>
      </c>
      <c r="AI14" s="21">
        <f>34+13</f>
        <v>47</v>
      </c>
      <c r="AJ14" s="22">
        <f>187+72.25</f>
        <v>259.25</v>
      </c>
      <c r="AK14" s="21"/>
      <c r="AL14" s="22">
        <v>186.21</v>
      </c>
      <c r="AM14" s="21"/>
      <c r="AN14" s="22"/>
      <c r="AO14" s="21"/>
      <c r="AP14" s="22"/>
      <c r="AQ14" s="21"/>
      <c r="AR14" s="22">
        <v>140</v>
      </c>
      <c r="AS14" s="21">
        <v>8</v>
      </c>
      <c r="AT14" s="22">
        <v>44</v>
      </c>
      <c r="AV14" s="55">
        <f t="shared" si="0"/>
        <v>2760.01</v>
      </c>
      <c r="AW14" s="56">
        <f t="shared" si="1"/>
        <v>2616.1232227488154</v>
      </c>
    </row>
    <row r="15" spans="1:49" x14ac:dyDescent="0.25">
      <c r="A15" s="19" t="s">
        <v>107</v>
      </c>
      <c r="B15" s="20" t="s">
        <v>34</v>
      </c>
      <c r="C15" s="21"/>
      <c r="D15" s="22"/>
      <c r="E15" s="21"/>
      <c r="F15" s="22"/>
      <c r="G15" s="21"/>
      <c r="H15" s="22"/>
      <c r="I15" s="21"/>
      <c r="J15" s="22"/>
      <c r="K15" s="21"/>
      <c r="L15" s="22"/>
      <c r="M15" s="25"/>
      <c r="N15" s="22"/>
      <c r="O15" s="25">
        <v>17.25</v>
      </c>
      <c r="P15" s="22">
        <v>224.33</v>
      </c>
      <c r="Q15" s="21"/>
      <c r="R15" s="22"/>
      <c r="S15" s="25">
        <v>22.335000000000001</v>
      </c>
      <c r="T15" s="22">
        <v>245.81</v>
      </c>
      <c r="U15" s="21"/>
      <c r="V15" s="22"/>
      <c r="W15" s="21"/>
      <c r="X15" s="22"/>
      <c r="Y15" s="25">
        <f>20.78+9.5</f>
        <v>30.28</v>
      </c>
      <c r="Z15" s="22">
        <f>228.68+104.5</f>
        <v>333.18</v>
      </c>
      <c r="AA15" s="21"/>
      <c r="AB15" s="22"/>
      <c r="AC15" s="21"/>
      <c r="AD15" s="22"/>
      <c r="AE15" s="25">
        <v>19.75</v>
      </c>
      <c r="AF15" s="22">
        <v>217.37</v>
      </c>
      <c r="AG15" s="21"/>
      <c r="AH15" s="22"/>
      <c r="AI15" s="25">
        <v>25.954999999999998</v>
      </c>
      <c r="AJ15" s="22">
        <v>285.62</v>
      </c>
      <c r="AK15" s="21"/>
      <c r="AL15" s="22"/>
      <c r="AM15" s="25">
        <v>15.74</v>
      </c>
      <c r="AN15" s="22">
        <v>173.23</v>
      </c>
      <c r="AO15" s="21"/>
      <c r="AP15" s="22"/>
      <c r="AQ15" s="21"/>
      <c r="AR15" s="22"/>
      <c r="AS15" s="25">
        <v>11.37</v>
      </c>
      <c r="AT15" s="22">
        <v>125.11</v>
      </c>
      <c r="AV15" s="55">
        <f t="shared" si="0"/>
        <v>1604.6499999999999</v>
      </c>
      <c r="AW15" s="56">
        <f t="shared" si="1"/>
        <v>1520.995260663507</v>
      </c>
    </row>
    <row r="16" spans="1:49" x14ac:dyDescent="0.25">
      <c r="A16" s="19" t="s">
        <v>108</v>
      </c>
      <c r="B16" s="20" t="s">
        <v>109</v>
      </c>
      <c r="C16" s="21"/>
      <c r="D16" s="22"/>
      <c r="E16" s="21"/>
      <c r="F16" s="22"/>
      <c r="G16" s="21"/>
      <c r="H16" s="22"/>
      <c r="I16" s="25">
        <v>12.94</v>
      </c>
      <c r="J16" s="22">
        <v>155.28</v>
      </c>
      <c r="K16" s="21"/>
      <c r="L16" s="22"/>
      <c r="M16" s="21"/>
      <c r="N16" s="22"/>
      <c r="O16" s="25">
        <v>4.17</v>
      </c>
      <c r="P16" s="22">
        <v>50.04</v>
      </c>
      <c r="Q16" s="21"/>
      <c r="R16" s="22"/>
      <c r="S16" s="25">
        <v>12.824999999999999</v>
      </c>
      <c r="T16" s="22">
        <v>134.68</v>
      </c>
      <c r="U16" s="21"/>
      <c r="V16" s="22"/>
      <c r="W16" s="21"/>
      <c r="X16" s="22"/>
      <c r="Y16" s="25">
        <v>5</v>
      </c>
      <c r="Z16" s="22">
        <v>52.5</v>
      </c>
      <c r="AA16" s="21"/>
      <c r="AB16" s="22"/>
      <c r="AC16" s="21"/>
      <c r="AD16" s="22"/>
      <c r="AE16" s="25">
        <v>11.01</v>
      </c>
      <c r="AF16" s="22">
        <v>115.62</v>
      </c>
      <c r="AG16" s="21"/>
      <c r="AH16" s="22"/>
      <c r="AI16" s="25"/>
      <c r="AJ16" s="22"/>
      <c r="AK16" s="21"/>
      <c r="AL16" s="22"/>
      <c r="AM16" s="25">
        <v>1.0549999999999999</v>
      </c>
      <c r="AN16" s="22">
        <v>11.08</v>
      </c>
      <c r="AO16" s="21"/>
      <c r="AP16" s="22"/>
      <c r="AQ16" s="21"/>
      <c r="AR16" s="22"/>
      <c r="AS16" s="25">
        <v>0.5</v>
      </c>
      <c r="AT16" s="22">
        <v>5.25</v>
      </c>
      <c r="AV16" s="55">
        <f t="shared" si="0"/>
        <v>524.45000000000005</v>
      </c>
      <c r="AW16" s="56">
        <f t="shared" si="1"/>
        <v>497.10900473933657</v>
      </c>
    </row>
    <row r="17" spans="1:49" hidden="1" x14ac:dyDescent="0.25">
      <c r="A17" s="19" t="s">
        <v>33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25"/>
      <c r="L17" s="22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V17" s="55">
        <f t="shared" si="0"/>
        <v>0</v>
      </c>
      <c r="AW17" s="56">
        <f t="shared" si="1"/>
        <v>0</v>
      </c>
    </row>
    <row r="18" spans="1:49" hidden="1" x14ac:dyDescent="0.25">
      <c r="A18" s="19" t="s">
        <v>35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25"/>
      <c r="L18" s="22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V18" s="55">
        <f t="shared" si="0"/>
        <v>0</v>
      </c>
      <c r="AW18" s="56">
        <f t="shared" si="1"/>
        <v>0</v>
      </c>
    </row>
    <row r="19" spans="1:49" hidden="1" x14ac:dyDescent="0.25">
      <c r="A19" s="19" t="s">
        <v>36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25"/>
      <c r="L19" s="22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V19" s="55">
        <f t="shared" si="0"/>
        <v>0</v>
      </c>
      <c r="AW19" s="56">
        <f t="shared" si="1"/>
        <v>0</v>
      </c>
    </row>
    <row r="20" spans="1:49" x14ac:dyDescent="0.25">
      <c r="A20" s="19" t="s">
        <v>37</v>
      </c>
      <c r="B20" s="20" t="s">
        <v>34</v>
      </c>
      <c r="C20" s="25"/>
      <c r="D20" s="22"/>
      <c r="E20" s="25"/>
      <c r="F20" s="22"/>
      <c r="G20" s="25"/>
      <c r="H20" s="22"/>
      <c r="I20" s="25"/>
      <c r="J20" s="22"/>
      <c r="K20" s="25"/>
      <c r="L20" s="22"/>
      <c r="M20" s="25"/>
      <c r="N20" s="22"/>
      <c r="O20" s="25"/>
      <c r="P20" s="22"/>
      <c r="Q20" s="25"/>
      <c r="R20" s="22"/>
      <c r="S20" s="25"/>
      <c r="T20" s="22"/>
      <c r="U20" s="25"/>
      <c r="V20" s="22"/>
      <c r="W20" s="25"/>
      <c r="X20" s="22"/>
      <c r="Y20" s="25"/>
      <c r="Z20" s="22"/>
      <c r="AA20" s="25"/>
      <c r="AB20" s="22"/>
      <c r="AC20" s="25"/>
      <c r="AD20" s="22"/>
      <c r="AE20" s="25"/>
      <c r="AF20" s="22"/>
      <c r="AG20" s="25"/>
      <c r="AH20" s="22"/>
      <c r="AI20" s="25"/>
      <c r="AJ20" s="22"/>
      <c r="AK20" s="25"/>
      <c r="AL20" s="22">
        <v>4.5</v>
      </c>
      <c r="AM20" s="25"/>
      <c r="AN20" s="22"/>
      <c r="AO20" s="25"/>
      <c r="AP20" s="22"/>
      <c r="AQ20" s="25"/>
      <c r="AR20" s="22"/>
      <c r="AS20" s="25"/>
      <c r="AT20" s="22"/>
      <c r="AV20" s="55">
        <f t="shared" si="0"/>
        <v>4.5</v>
      </c>
      <c r="AW20" s="56">
        <f t="shared" si="1"/>
        <v>4.2654028436018958</v>
      </c>
    </row>
    <row r="21" spans="1:49" hidden="1" x14ac:dyDescent="0.25">
      <c r="A21" s="19" t="s">
        <v>38</v>
      </c>
      <c r="B21" s="20" t="s">
        <v>34</v>
      </c>
      <c r="C21" s="25"/>
      <c r="D21" s="22"/>
      <c r="E21" s="25"/>
      <c r="F21" s="22"/>
      <c r="G21" s="25"/>
      <c r="H21" s="22"/>
      <c r="I21" s="25"/>
      <c r="J21" s="22"/>
      <c r="K21" s="25"/>
      <c r="L21" s="22"/>
      <c r="M21" s="25"/>
      <c r="N21" s="22"/>
      <c r="O21" s="25"/>
      <c r="P21" s="22"/>
      <c r="Q21" s="25"/>
      <c r="R21" s="22"/>
      <c r="S21" s="25"/>
      <c r="T21" s="22"/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25"/>
      <c r="AP21" s="22"/>
      <c r="AQ21" s="25"/>
      <c r="AR21" s="22"/>
      <c r="AS21" s="25"/>
      <c r="AT21" s="22"/>
      <c r="AV21" s="55">
        <f t="shared" si="0"/>
        <v>0</v>
      </c>
      <c r="AW21" s="56">
        <f t="shared" si="1"/>
        <v>0</v>
      </c>
    </row>
    <row r="22" spans="1:49" x14ac:dyDescent="0.25">
      <c r="A22" s="19" t="s">
        <v>39</v>
      </c>
      <c r="B22" s="20" t="s">
        <v>34</v>
      </c>
      <c r="C22"/>
      <c r="D22" s="22"/>
      <c r="E22"/>
      <c r="F22" s="22"/>
      <c r="G22"/>
      <c r="H22" s="22"/>
      <c r="I22"/>
      <c r="J22" s="22"/>
      <c r="K22"/>
      <c r="L22" s="22"/>
      <c r="M22"/>
      <c r="N22" s="22"/>
      <c r="O22"/>
      <c r="P22" s="22"/>
      <c r="Q22"/>
      <c r="R22" s="22"/>
      <c r="S22"/>
      <c r="T22" s="22"/>
      <c r="U22"/>
      <c r="V22" s="22"/>
      <c r="W22"/>
      <c r="X22" s="22"/>
      <c r="Y22"/>
      <c r="Z22" s="22"/>
      <c r="AA22"/>
      <c r="AB22" s="22"/>
      <c r="AC22"/>
      <c r="AD22" s="22"/>
      <c r="AE22"/>
      <c r="AF22" s="22"/>
      <c r="AG22"/>
      <c r="AH22" s="22">
        <v>14.69</v>
      </c>
      <c r="AI22"/>
      <c r="AJ22" s="22"/>
      <c r="AK22"/>
      <c r="AL22" s="22">
        <f>63.93+6+30</f>
        <v>99.93</v>
      </c>
      <c r="AM22" s="1">
        <v>32</v>
      </c>
      <c r="AN22" s="22">
        <v>158.4</v>
      </c>
      <c r="AO22"/>
      <c r="AP22" s="22"/>
      <c r="AQ22"/>
      <c r="AR22" s="22">
        <v>60</v>
      </c>
      <c r="AS22" s="1">
        <v>12.685</v>
      </c>
      <c r="AT22" s="22">
        <v>75.31</v>
      </c>
      <c r="AV22" s="55">
        <f t="shared" si="0"/>
        <v>408.33000000000004</v>
      </c>
      <c r="AW22" s="56">
        <f t="shared" si="1"/>
        <v>387.04265402843606</v>
      </c>
    </row>
    <row r="23" spans="1:49" x14ac:dyDescent="0.25">
      <c r="A23" s="19" t="s">
        <v>40</v>
      </c>
      <c r="B23" s="20" t="s">
        <v>34</v>
      </c>
      <c r="C23" s="25"/>
      <c r="D23" s="22"/>
      <c r="E23" s="25"/>
      <c r="F23" s="22"/>
      <c r="G23" s="25"/>
      <c r="H23" s="22"/>
      <c r="I23" s="25"/>
      <c r="J23" s="22"/>
      <c r="K23" s="25"/>
      <c r="L23" s="22"/>
      <c r="M23" s="25"/>
      <c r="N23" s="22"/>
      <c r="O23" s="25"/>
      <c r="P23" s="22"/>
      <c r="Q23" s="25"/>
      <c r="R23" s="22"/>
      <c r="S23" s="25"/>
      <c r="T23" s="22"/>
      <c r="U23" s="25"/>
      <c r="V23" s="22"/>
      <c r="W23" s="25"/>
      <c r="X23" s="22"/>
      <c r="Y23" s="25"/>
      <c r="Z23" s="22"/>
      <c r="AA23" s="25"/>
      <c r="AB23" s="22"/>
      <c r="AC23" s="25"/>
      <c r="AD23" s="22"/>
      <c r="AE23" s="25"/>
      <c r="AF23" s="22"/>
      <c r="AG23" s="25"/>
      <c r="AH23" s="22"/>
      <c r="AI23" s="25"/>
      <c r="AJ23" s="22"/>
      <c r="AK23" s="25"/>
      <c r="AL23" s="22"/>
      <c r="AM23" s="25">
        <v>8</v>
      </c>
      <c r="AN23" s="22">
        <v>39.6</v>
      </c>
      <c r="AO23" s="25"/>
      <c r="AP23" s="22"/>
      <c r="AQ23" s="25"/>
      <c r="AR23" s="22">
        <v>2</v>
      </c>
      <c r="AS23" s="25">
        <v>2.8650000000000002</v>
      </c>
      <c r="AT23" s="22">
        <v>13.45</v>
      </c>
      <c r="AV23" s="55">
        <f t="shared" si="0"/>
        <v>55.05</v>
      </c>
      <c r="AW23" s="56">
        <f t="shared" si="1"/>
        <v>52.18009478672986</v>
      </c>
    </row>
    <row r="24" spans="1:49" hidden="1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25"/>
      <c r="L24" s="22"/>
      <c r="M24" s="25"/>
      <c r="N24" s="22"/>
      <c r="O24" s="25"/>
      <c r="P24" s="22"/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V24" s="55">
        <f t="shared" si="0"/>
        <v>0</v>
      </c>
      <c r="AW24" s="56">
        <f t="shared" si="1"/>
        <v>0</v>
      </c>
    </row>
    <row r="25" spans="1:49" hidden="1" x14ac:dyDescent="0.25">
      <c r="A25" s="19" t="s">
        <v>42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25"/>
      <c r="L25" s="22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V25" s="55">
        <f t="shared" si="0"/>
        <v>0</v>
      </c>
      <c r="AW25" s="56">
        <f t="shared" si="1"/>
        <v>0</v>
      </c>
    </row>
    <row r="26" spans="1:49" hidden="1" x14ac:dyDescent="0.25">
      <c r="A26" s="19" t="s">
        <v>43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25"/>
      <c r="L26" s="22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V26" s="55">
        <f t="shared" si="0"/>
        <v>0</v>
      </c>
      <c r="AW26" s="56">
        <f t="shared" si="1"/>
        <v>0</v>
      </c>
    </row>
    <row r="27" spans="1:49" hidden="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25"/>
      <c r="L27" s="22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V27" s="55">
        <f t="shared" si="0"/>
        <v>0</v>
      </c>
      <c r="AW27" s="56">
        <f t="shared" si="1"/>
        <v>0</v>
      </c>
    </row>
    <row r="28" spans="1:49" hidden="1" x14ac:dyDescent="0.25">
      <c r="A28" s="19" t="s">
        <v>45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25"/>
      <c r="L28" s="22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V28" s="55">
        <f t="shared" si="0"/>
        <v>0</v>
      </c>
      <c r="AW28" s="56">
        <f t="shared" si="1"/>
        <v>0</v>
      </c>
    </row>
    <row r="29" spans="1:49" s="18" customFormat="1" x14ac:dyDescent="0.25">
      <c r="A29" s="12" t="s">
        <v>46</v>
      </c>
      <c r="B29" s="13"/>
      <c r="C29" s="14"/>
      <c r="D29" s="15">
        <f>SUM(D30:D44)</f>
        <v>64</v>
      </c>
      <c r="E29" s="14"/>
      <c r="F29" s="15">
        <f>SUM(F30:F44)</f>
        <v>8.1</v>
      </c>
      <c r="G29" s="14"/>
      <c r="H29" s="15">
        <f>SUM(H30:H44)</f>
        <v>46.7</v>
      </c>
      <c r="I29" s="14"/>
      <c r="J29" s="15">
        <f>SUM(J30:J44)</f>
        <v>14.98</v>
      </c>
      <c r="K29" s="14"/>
      <c r="L29" s="15">
        <f>SUM(L30:L44)</f>
        <v>15.1</v>
      </c>
      <c r="M29" s="14"/>
      <c r="N29" s="15">
        <f>SUM(N30:N44)</f>
        <v>49.85</v>
      </c>
      <c r="O29" s="14"/>
      <c r="P29" s="15">
        <f>SUM(P30:P44)</f>
        <v>6.08</v>
      </c>
      <c r="Q29" s="14"/>
      <c r="R29" s="15">
        <f>SUM(R30:R44)</f>
        <v>38.799999999999997</v>
      </c>
      <c r="S29" s="14"/>
      <c r="T29" s="15">
        <f>SUM(T30:T44)</f>
        <v>0</v>
      </c>
      <c r="U29" s="14"/>
      <c r="V29" s="15">
        <f>SUM(V30:V44)</f>
        <v>0</v>
      </c>
      <c r="W29" s="14"/>
      <c r="X29" s="15">
        <f>SUM(X30:X44)</f>
        <v>49</v>
      </c>
      <c r="Y29" s="14"/>
      <c r="Z29" s="15">
        <f>SUM(Z30:Z44)</f>
        <v>7.18</v>
      </c>
      <c r="AA29" s="14"/>
      <c r="AB29" s="15">
        <f>SUM(AB30:AB44)</f>
        <v>49.730000000000004</v>
      </c>
      <c r="AC29" s="14"/>
      <c r="AD29" s="15">
        <f>SUM(AD30:AD44)</f>
        <v>0</v>
      </c>
      <c r="AE29" s="14"/>
      <c r="AF29" s="15">
        <f>SUM(AF30:AF44)</f>
        <v>15.17</v>
      </c>
      <c r="AG29" s="14"/>
      <c r="AH29" s="15">
        <f>SUM(AH30:AH44)</f>
        <v>48.859999999999992</v>
      </c>
      <c r="AI29" s="14"/>
      <c r="AJ29" s="15">
        <f>SUM(AJ30:AJ44)</f>
        <v>0</v>
      </c>
      <c r="AK29" s="14"/>
      <c r="AL29" s="15">
        <f>SUM(AL30:AL44)</f>
        <v>17.82</v>
      </c>
      <c r="AM29" s="14"/>
      <c r="AN29" s="15">
        <f>SUM(AN30:AN44)</f>
        <v>5.87</v>
      </c>
      <c r="AO29" s="14"/>
      <c r="AP29" s="15">
        <f>SUM(AP30:AP44)</f>
        <v>0</v>
      </c>
      <c r="AQ29" s="14"/>
      <c r="AR29" s="15">
        <f>SUM(AR30:AR44)</f>
        <v>21.200000000000003</v>
      </c>
      <c r="AS29" s="14"/>
      <c r="AT29" s="15">
        <f>SUM(AT30:AT44)</f>
        <v>0</v>
      </c>
      <c r="AV29" s="53">
        <f t="shared" si="0"/>
        <v>458.44000000000005</v>
      </c>
      <c r="AW29" s="54">
        <f t="shared" si="1"/>
        <v>434.54028436018967</v>
      </c>
    </row>
    <row r="30" spans="1:49" hidden="1" x14ac:dyDescent="0.25">
      <c r="A30" s="19" t="s">
        <v>47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25"/>
      <c r="L30" s="22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V30" s="55">
        <f t="shared" si="0"/>
        <v>0</v>
      </c>
      <c r="AW30" s="56">
        <f t="shared" si="1"/>
        <v>0</v>
      </c>
    </row>
    <row r="31" spans="1:49" x14ac:dyDescent="0.25">
      <c r="A31" s="19" t="s">
        <v>48</v>
      </c>
      <c r="B31" s="20" t="s">
        <v>34</v>
      </c>
      <c r="C31" s="25"/>
      <c r="D31" s="22"/>
      <c r="E31" s="25"/>
      <c r="F31" s="22"/>
      <c r="G31" s="25"/>
      <c r="H31" s="22"/>
      <c r="I31" s="25">
        <v>5.83</v>
      </c>
      <c r="J31" s="22">
        <v>11.07</v>
      </c>
      <c r="K31" s="25"/>
      <c r="L31" s="22"/>
      <c r="M31" s="25"/>
      <c r="N31" s="22">
        <v>2.97</v>
      </c>
      <c r="O31" s="25"/>
      <c r="P31" s="22"/>
      <c r="Q31" s="25"/>
      <c r="R31" s="22">
        <v>8</v>
      </c>
      <c r="S31" s="25"/>
      <c r="T31" s="22"/>
      <c r="U31" s="25"/>
      <c r="V31" s="22"/>
      <c r="W31" s="25"/>
      <c r="X31" s="22">
        <v>5.39</v>
      </c>
      <c r="Y31" s="25"/>
      <c r="Z31" s="22"/>
      <c r="AA31" s="25"/>
      <c r="AB31" s="22">
        <v>8.5</v>
      </c>
      <c r="AC31" s="25"/>
      <c r="AD31" s="22"/>
      <c r="AE31" s="25">
        <v>0.84</v>
      </c>
      <c r="AF31" s="22">
        <v>1.6</v>
      </c>
      <c r="AG31" s="25"/>
      <c r="AH31" s="22"/>
      <c r="AI31" s="25"/>
      <c r="AJ31" s="22"/>
      <c r="AK31" s="25"/>
      <c r="AL31" s="22">
        <v>6</v>
      </c>
      <c r="AM31" s="25"/>
      <c r="AN31" s="22"/>
      <c r="AO31" s="25"/>
      <c r="AP31" s="22"/>
      <c r="AQ31" s="25"/>
      <c r="AR31" s="22">
        <v>3.39</v>
      </c>
      <c r="AS31" s="25"/>
      <c r="AT31" s="22"/>
      <c r="AV31" s="55">
        <f t="shared" si="0"/>
        <v>46.92</v>
      </c>
      <c r="AW31" s="56">
        <f t="shared" si="1"/>
        <v>44.473933649289101</v>
      </c>
    </row>
    <row r="32" spans="1:49" hidden="1" x14ac:dyDescent="0.25">
      <c r="A32" s="19" t="s">
        <v>49</v>
      </c>
      <c r="B32" s="20" t="s">
        <v>34</v>
      </c>
      <c r="C32" s="25"/>
      <c r="D32" s="22"/>
      <c r="E32" s="25"/>
      <c r="F32" s="22"/>
      <c r="G32" s="25"/>
      <c r="H32" s="22"/>
      <c r="I32" s="25"/>
      <c r="J32" s="22"/>
      <c r="K32" s="25"/>
      <c r="L32" s="22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V32" s="55">
        <f t="shared" si="0"/>
        <v>0</v>
      </c>
      <c r="AW32" s="56">
        <f t="shared" si="1"/>
        <v>0</v>
      </c>
    </row>
    <row r="33" spans="1:49" x14ac:dyDescent="0.25">
      <c r="A33" s="19" t="s">
        <v>50</v>
      </c>
      <c r="B33" s="20" t="s">
        <v>34</v>
      </c>
      <c r="C33" s="25"/>
      <c r="D33" s="22"/>
      <c r="E33" s="25"/>
      <c r="F33" s="22"/>
      <c r="G33" s="25"/>
      <c r="H33" s="22"/>
      <c r="I33" s="25"/>
      <c r="J33" s="22"/>
      <c r="K33" s="25"/>
      <c r="L33" s="22">
        <v>4.8499999999999996</v>
      </c>
      <c r="M33" s="25"/>
      <c r="N33" s="22"/>
      <c r="O33" s="25"/>
      <c r="P33" s="22"/>
      <c r="Q33" s="25"/>
      <c r="R33" s="22"/>
      <c r="S33" s="25"/>
      <c r="T33" s="22"/>
      <c r="U33" s="25"/>
      <c r="V33" s="22"/>
      <c r="W33" s="25"/>
      <c r="X33" s="22"/>
      <c r="Y33" s="25"/>
      <c r="Z33" s="22"/>
      <c r="AA33" s="25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V33" s="55">
        <f t="shared" si="0"/>
        <v>4.8499999999999996</v>
      </c>
      <c r="AW33" s="56">
        <f t="shared" si="1"/>
        <v>4.5971563981042651</v>
      </c>
    </row>
    <row r="34" spans="1:49" x14ac:dyDescent="0.25">
      <c r="A34" s="19" t="s">
        <v>51</v>
      </c>
      <c r="B34" s="20" t="s">
        <v>34</v>
      </c>
      <c r="C34" s="25"/>
      <c r="D34" s="22"/>
      <c r="E34" s="25"/>
      <c r="F34" s="22"/>
      <c r="G34" s="25"/>
      <c r="H34" s="22"/>
      <c r="I34" s="25"/>
      <c r="J34" s="22"/>
      <c r="K34" s="25"/>
      <c r="L34" s="22">
        <v>10.25</v>
      </c>
      <c r="M34" s="25"/>
      <c r="N34" s="22"/>
      <c r="O34" s="25"/>
      <c r="P34" s="22"/>
      <c r="Q34" s="25"/>
      <c r="R34" s="22"/>
      <c r="S34" s="25"/>
      <c r="T34" s="22"/>
      <c r="U34" s="25"/>
      <c r="V34" s="22"/>
      <c r="W34" s="25"/>
      <c r="X34" s="22"/>
      <c r="Y34" s="25"/>
      <c r="Z34" s="22"/>
      <c r="AA34" s="25"/>
      <c r="AB34" s="22"/>
      <c r="AC34" s="25"/>
      <c r="AD34" s="22"/>
      <c r="AE34" s="25"/>
      <c r="AF34" s="22"/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V34" s="55">
        <f t="shared" si="0"/>
        <v>10.25</v>
      </c>
      <c r="AW34" s="56">
        <f t="shared" si="1"/>
        <v>9.7156398104265413</v>
      </c>
    </row>
    <row r="35" spans="1:49" x14ac:dyDescent="0.25">
      <c r="A35" s="19" t="s">
        <v>52</v>
      </c>
      <c r="B35" s="20" t="s">
        <v>53</v>
      </c>
      <c r="C35" s="25"/>
      <c r="D35" s="22"/>
      <c r="E35" s="25"/>
      <c r="F35" s="22"/>
      <c r="G35" s="25"/>
      <c r="H35" s="22"/>
      <c r="I35" s="25"/>
      <c r="J35" s="22"/>
      <c r="K35" s="25"/>
      <c r="L35" s="22"/>
      <c r="M35" s="25"/>
      <c r="N35" s="22">
        <v>3.28</v>
      </c>
      <c r="O35" s="25"/>
      <c r="P35" s="22"/>
      <c r="Q35" s="25"/>
      <c r="R35" s="22"/>
      <c r="S35" s="25"/>
      <c r="T35" s="22"/>
      <c r="U35" s="25"/>
      <c r="V35" s="22"/>
      <c r="W35" s="25"/>
      <c r="X35" s="22">
        <v>2.4700000000000002</v>
      </c>
      <c r="Y35" s="25"/>
      <c r="Z35" s="22"/>
      <c r="AA35" s="25"/>
      <c r="AB35" s="22"/>
      <c r="AC35" s="25"/>
      <c r="AD35" s="22"/>
      <c r="AE35" s="25"/>
      <c r="AF35" s="22"/>
      <c r="AG35" s="25"/>
      <c r="AH35" s="22">
        <v>2.91</v>
      </c>
      <c r="AI35" s="25"/>
      <c r="AJ35" s="22"/>
      <c r="AK35" s="25"/>
      <c r="AL35" s="22"/>
      <c r="AM35" s="25"/>
      <c r="AN35" s="22"/>
      <c r="AO35" s="25"/>
      <c r="AP35" s="22"/>
      <c r="AQ35" s="25"/>
      <c r="AR35" s="22">
        <v>6.3</v>
      </c>
      <c r="AS35" s="25"/>
      <c r="AT35" s="22"/>
      <c r="AV35" s="55">
        <f t="shared" ref="AV35:AV59" si="2">SUM(AT35,AR35,AP35,AN35,AL35,AJ35,AH35,AF35,AD35,AB35,Z35,X35,V35,T35,R35,P35,N35,L35,J35,H35,F35,D35)</f>
        <v>14.96</v>
      </c>
      <c r="AW35" s="56">
        <f t="shared" ref="AW35:AW59" si="3">AV35/1.055</f>
        <v>14.18009478672986</v>
      </c>
    </row>
    <row r="36" spans="1:49" x14ac:dyDescent="0.25">
      <c r="A36" s="19" t="s">
        <v>54</v>
      </c>
      <c r="B36" s="20" t="s">
        <v>55</v>
      </c>
      <c r="C36" s="25"/>
      <c r="D36" s="22"/>
      <c r="E36" s="25"/>
      <c r="F36" s="22"/>
      <c r="G36" s="25"/>
      <c r="H36" s="22"/>
      <c r="I36" s="25"/>
      <c r="J36" s="22"/>
      <c r="K36" s="25"/>
      <c r="L36" s="22"/>
      <c r="M36" s="25"/>
      <c r="N36" s="22">
        <v>6.25</v>
      </c>
      <c r="O36" s="25"/>
      <c r="P36" s="22"/>
      <c r="Q36" s="25"/>
      <c r="R36" s="22">
        <v>7.5</v>
      </c>
      <c r="S36" s="25"/>
      <c r="T36" s="22"/>
      <c r="U36" s="25"/>
      <c r="V36" s="22"/>
      <c r="W36" s="25"/>
      <c r="X36" s="22">
        <v>8.3000000000000007</v>
      </c>
      <c r="Y36" s="25"/>
      <c r="Z36" s="22"/>
      <c r="AA36" s="25"/>
      <c r="AB36" s="22">
        <v>4.0999999999999996</v>
      </c>
      <c r="AC36" s="25"/>
      <c r="AD36" s="22"/>
      <c r="AE36" s="25"/>
      <c r="AF36" s="22"/>
      <c r="AG36" s="25"/>
      <c r="AH36" s="22">
        <v>4.8</v>
      </c>
      <c r="AI36" s="25"/>
      <c r="AJ36" s="22"/>
      <c r="AK36" s="25"/>
      <c r="AL36" s="22">
        <v>5.4</v>
      </c>
      <c r="AM36" s="25"/>
      <c r="AN36" s="22"/>
      <c r="AO36" s="25"/>
      <c r="AP36" s="22"/>
      <c r="AQ36" s="25"/>
      <c r="AR36" s="22"/>
      <c r="AS36" s="25"/>
      <c r="AT36" s="22"/>
      <c r="AV36" s="55">
        <f t="shared" si="2"/>
        <v>36.35</v>
      </c>
      <c r="AW36" s="56">
        <f t="shared" si="3"/>
        <v>34.454976303317537</v>
      </c>
    </row>
    <row r="37" spans="1:49" x14ac:dyDescent="0.25">
      <c r="A37" s="19" t="s">
        <v>56</v>
      </c>
      <c r="B37" s="20" t="s">
        <v>34</v>
      </c>
      <c r="C37" s="25"/>
      <c r="D37" s="22"/>
      <c r="E37" s="25"/>
      <c r="F37" s="22"/>
      <c r="G37" s="25"/>
      <c r="H37" s="22"/>
      <c r="I37" s="25"/>
      <c r="J37" s="22"/>
      <c r="K37" s="25"/>
      <c r="L37" s="22"/>
      <c r="M37" s="25"/>
      <c r="N37" s="22"/>
      <c r="O37" s="25"/>
      <c r="P37" s="22"/>
      <c r="Q37" s="25"/>
      <c r="R37" s="22"/>
      <c r="S37" s="25"/>
      <c r="T37" s="22"/>
      <c r="U37" s="25"/>
      <c r="V37" s="22"/>
      <c r="W37" s="25"/>
      <c r="X37" s="22"/>
      <c r="Y37" s="25"/>
      <c r="Z37" s="22"/>
      <c r="AA37" s="25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>
        <v>2.2000000000000002</v>
      </c>
      <c r="AM37" s="25"/>
      <c r="AN37" s="22"/>
      <c r="AO37" s="25"/>
      <c r="AP37" s="22"/>
      <c r="AQ37" s="25"/>
      <c r="AR37" s="22"/>
      <c r="AS37" s="25"/>
      <c r="AT37" s="22"/>
      <c r="AV37" s="55">
        <f t="shared" si="2"/>
        <v>2.2000000000000002</v>
      </c>
      <c r="AW37" s="56">
        <f t="shared" si="3"/>
        <v>2.0853080568720381</v>
      </c>
    </row>
    <row r="38" spans="1:49" hidden="1" x14ac:dyDescent="0.25">
      <c r="A38" s="19" t="s">
        <v>57</v>
      </c>
      <c r="B38" s="20" t="s">
        <v>53</v>
      </c>
      <c r="C38" s="25"/>
      <c r="D38" s="22"/>
      <c r="E38" s="25"/>
      <c r="F38" s="22"/>
      <c r="G38" s="25"/>
      <c r="H38" s="22"/>
      <c r="I38" s="25"/>
      <c r="J38" s="22"/>
      <c r="K38" s="25"/>
      <c r="L38" s="22"/>
      <c r="M38" s="25"/>
      <c r="N38" s="22"/>
      <c r="O38" s="25"/>
      <c r="P38" s="22"/>
      <c r="Q38" s="25"/>
      <c r="R38" s="22"/>
      <c r="S38" s="25"/>
      <c r="T38" s="22"/>
      <c r="U38" s="25"/>
      <c r="V38" s="22"/>
      <c r="W38" s="25"/>
      <c r="X38" s="22"/>
      <c r="Y38" s="25"/>
      <c r="Z38" s="22"/>
      <c r="AA38" s="25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V38" s="55">
        <f t="shared" si="2"/>
        <v>0</v>
      </c>
      <c r="AW38" s="56">
        <f t="shared" si="3"/>
        <v>0</v>
      </c>
    </row>
    <row r="39" spans="1:49" x14ac:dyDescent="0.25">
      <c r="A39" s="19" t="s">
        <v>58</v>
      </c>
      <c r="B39" s="20" t="s">
        <v>34</v>
      </c>
      <c r="C39" s="25"/>
      <c r="D39" s="22"/>
      <c r="E39" s="25">
        <v>1.76</v>
      </c>
      <c r="F39" s="22">
        <v>8.1</v>
      </c>
      <c r="G39" s="25"/>
      <c r="H39" s="22"/>
      <c r="I39" s="25">
        <v>1.1850000000000001</v>
      </c>
      <c r="J39" s="22">
        <v>3.91</v>
      </c>
      <c r="K39" s="25"/>
      <c r="L39" s="22"/>
      <c r="M39" s="25"/>
      <c r="N39" s="22">
        <v>11.45</v>
      </c>
      <c r="O39" s="25">
        <v>1.84</v>
      </c>
      <c r="P39" s="22">
        <v>6.08</v>
      </c>
      <c r="Q39" s="25"/>
      <c r="R39" s="22">
        <v>4.9000000000000004</v>
      </c>
      <c r="S39" s="25"/>
      <c r="T39" s="22"/>
      <c r="U39" s="25"/>
      <c r="V39" s="22"/>
      <c r="W39" s="25"/>
      <c r="X39" s="22">
        <v>9.6</v>
      </c>
      <c r="Y39" s="25">
        <v>2.1749999999999998</v>
      </c>
      <c r="Z39" s="22">
        <v>7.18</v>
      </c>
      <c r="AA39" s="25"/>
      <c r="AB39" s="22">
        <v>4.5999999999999996</v>
      </c>
      <c r="AC39" s="25"/>
      <c r="AD39" s="22"/>
      <c r="AE39" s="25">
        <v>4.1150000000000002</v>
      </c>
      <c r="AF39" s="22">
        <v>13.57</v>
      </c>
      <c r="AG39" s="25"/>
      <c r="AH39" s="22">
        <v>29.42</v>
      </c>
      <c r="AI39" s="25"/>
      <c r="AJ39" s="22"/>
      <c r="AK39" s="25"/>
      <c r="AL39" s="22">
        <v>1.42</v>
      </c>
      <c r="AM39" s="25">
        <v>1.78</v>
      </c>
      <c r="AN39" s="22">
        <v>5.87</v>
      </c>
      <c r="AO39" s="25"/>
      <c r="AP39" s="22"/>
      <c r="AQ39" s="25"/>
      <c r="AR39" s="22">
        <v>5.04</v>
      </c>
      <c r="AS39" s="25"/>
      <c r="AT39" s="22"/>
      <c r="AV39" s="55">
        <f t="shared" si="2"/>
        <v>111.13999999999999</v>
      </c>
      <c r="AW39" s="56">
        <f t="shared" si="3"/>
        <v>105.34597156398104</v>
      </c>
    </row>
    <row r="40" spans="1:49" x14ac:dyDescent="0.25">
      <c r="A40" s="19" t="s">
        <v>110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22"/>
      <c r="M40" s="25"/>
      <c r="N40" s="22">
        <v>7.58</v>
      </c>
      <c r="O40" s="25"/>
      <c r="P40" s="22"/>
      <c r="Q40" s="25">
        <v>4</v>
      </c>
      <c r="R40" s="22">
        <v>4.5</v>
      </c>
      <c r="S40" s="25"/>
      <c r="T40" s="22"/>
      <c r="U40" s="25"/>
      <c r="V40" s="22"/>
      <c r="W40" s="25"/>
      <c r="X40" s="22">
        <v>2.58</v>
      </c>
      <c r="Y40" s="25"/>
      <c r="Z40" s="22"/>
      <c r="AA40" s="25"/>
      <c r="AB40" s="22"/>
      <c r="AC40" s="25"/>
      <c r="AD40" s="22"/>
      <c r="AE40" s="25"/>
      <c r="AF40" s="22"/>
      <c r="AG40" s="25"/>
      <c r="AH40" s="22">
        <v>6.09</v>
      </c>
      <c r="AI40" s="25"/>
      <c r="AJ40" s="22"/>
      <c r="AK40" s="25"/>
      <c r="AL40" s="22"/>
      <c r="AM40" s="25"/>
      <c r="AN40" s="22"/>
      <c r="AO40" s="25"/>
      <c r="AP40" s="22"/>
      <c r="AQ40" s="25"/>
      <c r="AR40" s="22">
        <v>5.87</v>
      </c>
      <c r="AS40" s="25"/>
      <c r="AT40" s="22"/>
      <c r="AV40" s="55">
        <f t="shared" si="2"/>
        <v>26.619999999999997</v>
      </c>
      <c r="AW40" s="56">
        <f t="shared" si="3"/>
        <v>25.232227488151658</v>
      </c>
    </row>
    <row r="41" spans="1:49" x14ac:dyDescent="0.25">
      <c r="A41" s="19" t="s">
        <v>111</v>
      </c>
      <c r="B41" s="20" t="s">
        <v>34</v>
      </c>
      <c r="C41" s="25"/>
      <c r="D41" s="22"/>
      <c r="E41" s="25"/>
      <c r="F41" s="22"/>
      <c r="G41" s="25"/>
      <c r="H41" s="22"/>
      <c r="I41" s="25"/>
      <c r="J41" s="22"/>
      <c r="K41" s="25"/>
      <c r="L41" s="22"/>
      <c r="M41" s="25"/>
      <c r="N41" s="22">
        <v>4.5</v>
      </c>
      <c r="O41" s="25"/>
      <c r="P41" s="22"/>
      <c r="Q41" s="25"/>
      <c r="R41" s="22">
        <v>3.4</v>
      </c>
      <c r="S41" s="25"/>
      <c r="T41" s="22"/>
      <c r="U41" s="25"/>
      <c r="V41" s="22"/>
      <c r="W41" s="25"/>
      <c r="X41" s="22">
        <v>4.3899999999999997</v>
      </c>
      <c r="Y41" s="25"/>
      <c r="Z41" s="22"/>
      <c r="AA41" s="25"/>
      <c r="AB41" s="22">
        <v>2.73</v>
      </c>
      <c r="AC41" s="25"/>
      <c r="AD41" s="22"/>
      <c r="AE41" s="25"/>
      <c r="AF41" s="22"/>
      <c r="AG41" s="25"/>
      <c r="AH41" s="22">
        <v>1.66</v>
      </c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V41" s="55">
        <f t="shared" si="2"/>
        <v>16.68</v>
      </c>
      <c r="AW41" s="56">
        <f t="shared" si="3"/>
        <v>15.810426540284361</v>
      </c>
    </row>
    <row r="42" spans="1:49" x14ac:dyDescent="0.25">
      <c r="A42" s="19" t="s">
        <v>112</v>
      </c>
      <c r="B42" s="20" t="s">
        <v>34</v>
      </c>
      <c r="C42" s="25"/>
      <c r="D42" s="22"/>
      <c r="E42" s="25"/>
      <c r="F42" s="22"/>
      <c r="G42" s="25"/>
      <c r="H42" s="22"/>
      <c r="I42" s="25"/>
      <c r="J42" s="22"/>
      <c r="K42" s="25"/>
      <c r="L42" s="22"/>
      <c r="M42" s="25"/>
      <c r="N42" s="22">
        <v>9.42</v>
      </c>
      <c r="O42" s="25"/>
      <c r="P42" s="22"/>
      <c r="Q42" s="25"/>
      <c r="R42" s="22"/>
      <c r="S42" s="25"/>
      <c r="T42" s="22"/>
      <c r="U42" s="25"/>
      <c r="V42" s="22"/>
      <c r="W42" s="25"/>
      <c r="X42" s="22">
        <v>2.42</v>
      </c>
      <c r="Y42" s="25"/>
      <c r="Z42" s="22"/>
      <c r="AA42" s="25"/>
      <c r="AB42" s="22"/>
      <c r="AC42" s="25"/>
      <c r="AD42" s="22"/>
      <c r="AE42" s="25"/>
      <c r="AF42" s="22"/>
      <c r="AG42" s="25"/>
      <c r="AH42" s="22">
        <v>3.98</v>
      </c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V42" s="55">
        <f t="shared" si="2"/>
        <v>15.82</v>
      </c>
      <c r="AW42" s="56">
        <f t="shared" si="3"/>
        <v>14.995260663507111</v>
      </c>
    </row>
    <row r="43" spans="1:49" x14ac:dyDescent="0.25">
      <c r="A43" s="19" t="s">
        <v>113</v>
      </c>
      <c r="B43" s="20" t="s">
        <v>34</v>
      </c>
      <c r="C43" s="25"/>
      <c r="D43" s="22"/>
      <c r="E43" s="25"/>
      <c r="F43" s="22"/>
      <c r="G43" s="25"/>
      <c r="H43" s="22"/>
      <c r="I43" s="25"/>
      <c r="J43" s="22"/>
      <c r="K43" s="25"/>
      <c r="L43" s="22"/>
      <c r="M43" s="25"/>
      <c r="N43" s="22">
        <v>4.4000000000000004</v>
      </c>
      <c r="O43" s="25"/>
      <c r="P43" s="22"/>
      <c r="Q43" s="25"/>
      <c r="R43" s="22">
        <v>10.5</v>
      </c>
      <c r="S43" s="25"/>
      <c r="T43" s="22"/>
      <c r="U43" s="25"/>
      <c r="V43" s="22"/>
      <c r="W43" s="25"/>
      <c r="X43" s="22">
        <v>13.85</v>
      </c>
      <c r="Y43" s="25"/>
      <c r="Z43" s="22"/>
      <c r="AA43" s="25"/>
      <c r="AB43" s="22">
        <v>29.8</v>
      </c>
      <c r="AC43" s="25"/>
      <c r="AD43" s="22"/>
      <c r="AE43" s="25"/>
      <c r="AF43" s="22"/>
      <c r="AG43" s="25"/>
      <c r="AH43" s="22"/>
      <c r="AI43" s="25"/>
      <c r="AJ43" s="22"/>
      <c r="AK43" s="25"/>
      <c r="AL43" s="22">
        <v>2.8</v>
      </c>
      <c r="AM43" s="25"/>
      <c r="AN43" s="22"/>
      <c r="AO43" s="25"/>
      <c r="AP43" s="22"/>
      <c r="AQ43" s="25"/>
      <c r="AR43" s="22">
        <v>0.6</v>
      </c>
      <c r="AS43" s="25"/>
      <c r="AT43" s="22"/>
      <c r="AV43" s="55">
        <f t="shared" si="2"/>
        <v>61.95</v>
      </c>
      <c r="AW43" s="56">
        <f t="shared" si="3"/>
        <v>58.720379146919434</v>
      </c>
    </row>
    <row r="44" spans="1:49" x14ac:dyDescent="0.25">
      <c r="A44" s="19" t="s">
        <v>59</v>
      </c>
      <c r="B44" s="20"/>
      <c r="C44" s="25"/>
      <c r="D44" s="22">
        <v>64</v>
      </c>
      <c r="E44" s="25"/>
      <c r="F44" s="22"/>
      <c r="G44" s="25"/>
      <c r="H44" s="22">
        <v>46.7</v>
      </c>
      <c r="I44" s="25"/>
      <c r="J44" s="22"/>
      <c r="K44" s="25"/>
      <c r="L44" s="22"/>
      <c r="M44" s="25"/>
      <c r="N44" s="22"/>
      <c r="O44" s="25"/>
      <c r="P44" s="22"/>
      <c r="Q44" s="25"/>
      <c r="R44" s="22"/>
      <c r="S44" s="25"/>
      <c r="T44" s="22"/>
      <c r="U44" s="25"/>
      <c r="V44" s="22"/>
      <c r="W44" s="25"/>
      <c r="X44" s="22"/>
      <c r="Y44" s="25"/>
      <c r="Z44" s="22"/>
      <c r="AA44" s="25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V44" s="55">
        <f t="shared" si="2"/>
        <v>110.7</v>
      </c>
      <c r="AW44" s="56">
        <f t="shared" si="3"/>
        <v>104.92890995260665</v>
      </c>
    </row>
    <row r="45" spans="1:49" s="18" customFormat="1" x14ac:dyDescent="0.25">
      <c r="A45" s="12" t="s">
        <v>60</v>
      </c>
      <c r="B45" s="13"/>
      <c r="C45" s="14"/>
      <c r="D45" s="15">
        <f>SUM(D46:D53)</f>
        <v>100</v>
      </c>
      <c r="E45" s="14"/>
      <c r="F45" s="15">
        <f>SUM(F46:F53)</f>
        <v>69.16</v>
      </c>
      <c r="G45" s="14"/>
      <c r="H45" s="15">
        <f>SUM(H46:H53)</f>
        <v>32.6</v>
      </c>
      <c r="I45" s="14"/>
      <c r="J45" s="15">
        <f>SUM(J46:J53)</f>
        <v>61.56</v>
      </c>
      <c r="K45" s="14"/>
      <c r="L45" s="15">
        <f>SUM(L46:L53)</f>
        <v>0</v>
      </c>
      <c r="M45" s="14"/>
      <c r="N45" s="15">
        <f>SUM(N46:N53)</f>
        <v>46.230000000000004</v>
      </c>
      <c r="O45" s="14"/>
      <c r="P45" s="15">
        <f>SUM(P46:P53)</f>
        <v>53.680000000000007</v>
      </c>
      <c r="Q45" s="14"/>
      <c r="R45" s="15">
        <f>SUM(R46:R53)</f>
        <v>21.28</v>
      </c>
      <c r="S45" s="14"/>
      <c r="T45" s="15">
        <f>SUM(T46:T53)</f>
        <v>37.400000000000006</v>
      </c>
      <c r="U45" s="14"/>
      <c r="V45" s="15">
        <f>SUM(V46:V53)</f>
        <v>0</v>
      </c>
      <c r="W45" s="14"/>
      <c r="X45" s="15">
        <f>SUM(X46:X53)</f>
        <v>22.900000000000002</v>
      </c>
      <c r="Y45" s="14"/>
      <c r="Z45" s="15">
        <f>SUM(Z46:Z53)</f>
        <v>52.04</v>
      </c>
      <c r="AA45" s="14"/>
      <c r="AB45" s="15">
        <f>SUM(AB46:AB53)</f>
        <v>16.380000000000003</v>
      </c>
      <c r="AC45" s="14"/>
      <c r="AD45" s="15">
        <f>SUM(AD46:AD53)</f>
        <v>3</v>
      </c>
      <c r="AE45" s="14"/>
      <c r="AF45" s="15">
        <f>SUM(AF46:AF53)</f>
        <v>19.440000000000001</v>
      </c>
      <c r="AG45" s="14"/>
      <c r="AH45" s="15">
        <f>SUM(AH46:AH53)</f>
        <v>23.81</v>
      </c>
      <c r="AI45" s="14"/>
      <c r="AJ45" s="15">
        <f>SUM(AJ46:AJ53)</f>
        <v>80.210000000000008</v>
      </c>
      <c r="AK45" s="14"/>
      <c r="AL45" s="15">
        <f>SUM(AL46:AL53)</f>
        <v>26.830000000000002</v>
      </c>
      <c r="AM45" s="14"/>
      <c r="AN45" s="15">
        <f>SUM(AN46:AN53)</f>
        <v>7.59</v>
      </c>
      <c r="AO45" s="14"/>
      <c r="AP45" s="15">
        <f>SUM(AP46:AP53)</f>
        <v>9.5</v>
      </c>
      <c r="AQ45" s="14"/>
      <c r="AR45" s="15">
        <f>SUM(AR46:AR53)</f>
        <v>10.4</v>
      </c>
      <c r="AS45" s="14"/>
      <c r="AT45" s="15">
        <f>SUM(AT46:AT53)</f>
        <v>46.31</v>
      </c>
      <c r="AV45" s="53">
        <f t="shared" si="2"/>
        <v>740.32</v>
      </c>
      <c r="AW45" s="54">
        <f t="shared" si="3"/>
        <v>701.72511848341242</v>
      </c>
    </row>
    <row r="46" spans="1:49" x14ac:dyDescent="0.25">
      <c r="A46" s="19" t="s">
        <v>61</v>
      </c>
      <c r="B46" s="20" t="s">
        <v>34</v>
      </c>
      <c r="C46" s="25"/>
      <c r="D46" s="22"/>
      <c r="E46" s="25">
        <v>0.53</v>
      </c>
      <c r="F46" s="22">
        <v>12.2</v>
      </c>
      <c r="G46" s="25"/>
      <c r="H46" s="22">
        <v>7.2</v>
      </c>
      <c r="I46" s="25">
        <v>0.41</v>
      </c>
      <c r="J46" s="22">
        <v>9.43</v>
      </c>
      <c r="K46" s="25"/>
      <c r="L46" s="22"/>
      <c r="M46" s="25"/>
      <c r="N46" s="22"/>
      <c r="O46" s="25">
        <v>0.57499999999999996</v>
      </c>
      <c r="P46" s="22">
        <v>13.24</v>
      </c>
      <c r="Q46" s="25"/>
      <c r="R46" s="22">
        <v>4.58</v>
      </c>
      <c r="S46" s="25">
        <v>0.26</v>
      </c>
      <c r="T46" s="22">
        <v>5.98</v>
      </c>
      <c r="U46" s="25"/>
      <c r="V46" s="22"/>
      <c r="W46" s="25"/>
      <c r="X46" s="22">
        <v>5.78</v>
      </c>
      <c r="Y46" s="25">
        <v>0.995</v>
      </c>
      <c r="Z46" s="22">
        <v>22.9</v>
      </c>
      <c r="AA46" s="25"/>
      <c r="AB46" s="22">
        <v>6.53</v>
      </c>
      <c r="AC46" s="25"/>
      <c r="AD46" s="22"/>
      <c r="AE46" s="25"/>
      <c r="AF46" s="22"/>
      <c r="AG46" s="25"/>
      <c r="AH46" s="22"/>
      <c r="AI46" s="25">
        <v>1.2450000000000001</v>
      </c>
      <c r="AJ46" s="22">
        <v>28.65</v>
      </c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V46" s="55">
        <f t="shared" si="2"/>
        <v>116.49000000000001</v>
      </c>
      <c r="AW46" s="56">
        <f t="shared" si="3"/>
        <v>110.41706161137442</v>
      </c>
    </row>
    <row r="47" spans="1:49" x14ac:dyDescent="0.25">
      <c r="A47" s="19" t="s">
        <v>62</v>
      </c>
      <c r="B47" s="20" t="s">
        <v>34</v>
      </c>
      <c r="C47"/>
      <c r="D47" s="22"/>
      <c r="E47" s="1">
        <v>0.13</v>
      </c>
      <c r="F47" s="22">
        <v>2.99</v>
      </c>
      <c r="G47"/>
      <c r="H47" s="22"/>
      <c r="I47"/>
      <c r="J47" s="22"/>
      <c r="K47"/>
      <c r="L47" s="22"/>
      <c r="M47"/>
      <c r="N47" s="22"/>
      <c r="O47"/>
      <c r="P47" s="22"/>
      <c r="Q47"/>
      <c r="R47" s="22"/>
      <c r="S47"/>
      <c r="T47" s="22"/>
      <c r="U47"/>
      <c r="V47" s="22"/>
      <c r="W47"/>
      <c r="X47" s="22">
        <v>2</v>
      </c>
      <c r="Y47" s="1">
        <v>0.12</v>
      </c>
      <c r="Z47" s="22">
        <v>2.76</v>
      </c>
      <c r="AA47"/>
      <c r="AB47" s="22"/>
      <c r="AC47"/>
      <c r="AD47" s="22"/>
      <c r="AE47"/>
      <c r="AF47" s="22"/>
      <c r="AG47"/>
      <c r="AH47" s="22"/>
      <c r="AI47" s="1">
        <v>0.14499999999999999</v>
      </c>
      <c r="AJ47" s="22">
        <v>3.34</v>
      </c>
      <c r="AK47"/>
      <c r="AL47" s="22"/>
      <c r="AM47"/>
      <c r="AN47" s="22"/>
      <c r="AO47"/>
      <c r="AP47" s="22"/>
      <c r="AQ47"/>
      <c r="AR47" s="22">
        <v>2.95</v>
      </c>
      <c r="AS47" s="1">
        <v>0.105</v>
      </c>
      <c r="AT47" s="22">
        <v>2.42</v>
      </c>
      <c r="AV47" s="55">
        <f t="shared" si="2"/>
        <v>16.46</v>
      </c>
      <c r="AW47" s="56">
        <f t="shared" si="3"/>
        <v>15.601895734597159</v>
      </c>
    </row>
    <row r="48" spans="1:49" x14ac:dyDescent="0.25">
      <c r="A48" s="19" t="s">
        <v>63</v>
      </c>
      <c r="B48" s="20" t="s">
        <v>34</v>
      </c>
      <c r="C48"/>
      <c r="D48" s="22"/>
      <c r="E48"/>
      <c r="F48" s="22"/>
      <c r="G48"/>
      <c r="H48" s="22">
        <v>5.4</v>
      </c>
      <c r="I48" s="1">
        <v>0.505</v>
      </c>
      <c r="J48" s="22">
        <v>11.62</v>
      </c>
      <c r="K48"/>
      <c r="L48" s="22"/>
      <c r="M48"/>
      <c r="N48" s="22"/>
      <c r="O48"/>
      <c r="P48" s="22"/>
      <c r="Q48"/>
      <c r="R48" s="22"/>
      <c r="S48" s="1">
        <v>0.245</v>
      </c>
      <c r="T48" s="22">
        <v>5.64</v>
      </c>
      <c r="U48"/>
      <c r="V48" s="22"/>
      <c r="W48"/>
      <c r="X48" s="22">
        <v>4.66</v>
      </c>
      <c r="Y48"/>
      <c r="Z48" s="22"/>
      <c r="AA48"/>
      <c r="AB48" s="22"/>
      <c r="AC48"/>
      <c r="AD48" s="22">
        <v>3</v>
      </c>
      <c r="AE48" s="1">
        <v>0.22</v>
      </c>
      <c r="AF48" s="22">
        <v>5.0599999999999996</v>
      </c>
      <c r="AG48"/>
      <c r="AH48" s="22">
        <v>6</v>
      </c>
      <c r="AI48" s="1">
        <v>0.13500000000000001</v>
      </c>
      <c r="AJ48" s="22">
        <v>3.11</v>
      </c>
      <c r="AK48"/>
      <c r="AL48" s="22">
        <v>5</v>
      </c>
      <c r="AM48" s="1">
        <v>0.21</v>
      </c>
      <c r="AN48" s="22">
        <v>4.83</v>
      </c>
      <c r="AO48"/>
      <c r="AP48" s="22">
        <v>5</v>
      </c>
      <c r="AQ48"/>
      <c r="AR48" s="22"/>
      <c r="AS48"/>
      <c r="AT48" s="22"/>
      <c r="AV48" s="55">
        <f t="shared" si="2"/>
        <v>59.319999999999993</v>
      </c>
      <c r="AW48" s="56">
        <f t="shared" si="3"/>
        <v>56.227488151658761</v>
      </c>
    </row>
    <row r="49" spans="1:49" x14ac:dyDescent="0.25">
      <c r="A49" s="19" t="s">
        <v>64</v>
      </c>
      <c r="B49" s="20" t="s">
        <v>34</v>
      </c>
      <c r="C49" s="25"/>
      <c r="D49" s="22">
        <v>7</v>
      </c>
      <c r="E49" s="25">
        <v>0.30499999999999999</v>
      </c>
      <c r="F49" s="22">
        <v>11.9</v>
      </c>
      <c r="G49" s="25"/>
      <c r="H49" s="22"/>
      <c r="I49" s="25">
        <v>0.60499999999999998</v>
      </c>
      <c r="J49" s="22">
        <v>23.61</v>
      </c>
      <c r="K49" s="25"/>
      <c r="L49" s="22"/>
      <c r="M49" s="25"/>
      <c r="N49" s="22">
        <v>5.2</v>
      </c>
      <c r="O49" s="25">
        <v>0.34499999999999997</v>
      </c>
      <c r="P49" s="22">
        <v>13.46</v>
      </c>
      <c r="Q49" s="25"/>
      <c r="R49" s="22">
        <v>7.7</v>
      </c>
      <c r="S49" s="25">
        <v>0.58499999999999996</v>
      </c>
      <c r="T49" s="22">
        <v>22.83</v>
      </c>
      <c r="U49" s="25"/>
      <c r="V49" s="22"/>
      <c r="W49" s="25"/>
      <c r="X49" s="22">
        <v>5.76</v>
      </c>
      <c r="Y49" s="25">
        <v>0.22500000000000001</v>
      </c>
      <c r="Z49" s="22">
        <v>8.7799999999999994</v>
      </c>
      <c r="AA49" s="25"/>
      <c r="AB49" s="22">
        <v>3.6</v>
      </c>
      <c r="AC49" s="25"/>
      <c r="AD49" s="22"/>
      <c r="AE49" s="25">
        <v>0.31</v>
      </c>
      <c r="AF49" s="22">
        <v>12.1</v>
      </c>
      <c r="AG49" s="25"/>
      <c r="AH49" s="22">
        <v>6.81</v>
      </c>
      <c r="AI49" s="25">
        <v>0.34499999999999997</v>
      </c>
      <c r="AJ49" s="22">
        <v>13.47</v>
      </c>
      <c r="AK49" s="25"/>
      <c r="AL49" s="22">
        <v>3.96</v>
      </c>
      <c r="AM49" s="25"/>
      <c r="AN49" s="22"/>
      <c r="AO49" s="25"/>
      <c r="AP49" s="22">
        <v>4.5</v>
      </c>
      <c r="AQ49" s="25"/>
      <c r="AR49" s="22">
        <v>3.95</v>
      </c>
      <c r="AS49" s="25">
        <v>0.64500000000000002</v>
      </c>
      <c r="AT49" s="22">
        <v>25.16</v>
      </c>
      <c r="AV49" s="55">
        <f t="shared" si="2"/>
        <v>179.79</v>
      </c>
      <c r="AW49" s="56">
        <f t="shared" si="3"/>
        <v>170.41706161137441</v>
      </c>
    </row>
    <row r="50" spans="1:49" hidden="1" x14ac:dyDescent="0.25">
      <c r="A50" s="19" t="s">
        <v>65</v>
      </c>
      <c r="B50" s="20" t="s">
        <v>34</v>
      </c>
      <c r="C50" s="25"/>
      <c r="D50" s="22"/>
      <c r="E50" s="25"/>
      <c r="F50" s="22"/>
      <c r="G50" s="25"/>
      <c r="H50" s="22"/>
      <c r="I50" s="25"/>
      <c r="J50" s="22"/>
      <c r="K50" s="25"/>
      <c r="L50" s="22"/>
      <c r="M50" s="25"/>
      <c r="N50" s="22"/>
      <c r="O50" s="25"/>
      <c r="P50" s="22"/>
      <c r="Q50" s="25"/>
      <c r="R50" s="22"/>
      <c r="S50" s="25"/>
      <c r="T50" s="22"/>
      <c r="U50" s="25"/>
      <c r="V50" s="22"/>
      <c r="W50" s="25"/>
      <c r="X50" s="22"/>
      <c r="Y50" s="25"/>
      <c r="Z50" s="22"/>
      <c r="AA50" s="25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V50" s="55">
        <f t="shared" si="2"/>
        <v>0</v>
      </c>
      <c r="AW50" s="56">
        <f t="shared" si="3"/>
        <v>0</v>
      </c>
    </row>
    <row r="51" spans="1:49" x14ac:dyDescent="0.25">
      <c r="A51" s="19" t="s">
        <v>66</v>
      </c>
      <c r="B51" s="20" t="s">
        <v>34</v>
      </c>
      <c r="C51" s="25"/>
      <c r="D51" s="22">
        <v>25</v>
      </c>
      <c r="E51" s="25">
        <v>3.4350000000000001</v>
      </c>
      <c r="F51" s="22">
        <v>32.64</v>
      </c>
      <c r="G51" s="25"/>
      <c r="H51" s="22">
        <v>20</v>
      </c>
      <c r="I51" s="25">
        <v>0.98</v>
      </c>
      <c r="J51" s="22">
        <v>9.31</v>
      </c>
      <c r="K51" s="25"/>
      <c r="L51" s="22"/>
      <c r="M51" s="25"/>
      <c r="N51" s="22">
        <v>34.9</v>
      </c>
      <c r="O51" s="25">
        <v>1.98</v>
      </c>
      <c r="P51" s="22">
        <v>18.809999999999999</v>
      </c>
      <c r="Q51" s="25"/>
      <c r="R51" s="22">
        <v>9</v>
      </c>
      <c r="S51" s="25">
        <v>0.31</v>
      </c>
      <c r="T51" s="22">
        <v>2.95</v>
      </c>
      <c r="U51" s="25"/>
      <c r="V51" s="22"/>
      <c r="W51" s="25"/>
      <c r="X51" s="22">
        <v>4.7</v>
      </c>
      <c r="Y51" s="25">
        <v>1.85</v>
      </c>
      <c r="Z51" s="22">
        <v>17.600000000000001</v>
      </c>
      <c r="AA51" s="25"/>
      <c r="AB51" s="22">
        <v>4</v>
      </c>
      <c r="AC51" s="25"/>
      <c r="AD51" s="22"/>
      <c r="AE51" s="25">
        <v>0.24</v>
      </c>
      <c r="AF51" s="22">
        <v>2.2799999999999998</v>
      </c>
      <c r="AG51" s="25"/>
      <c r="AH51" s="22">
        <v>11</v>
      </c>
      <c r="AI51" s="25">
        <v>3.33</v>
      </c>
      <c r="AJ51" s="22">
        <v>31.64</v>
      </c>
      <c r="AK51" s="25"/>
      <c r="AL51" s="22">
        <v>17.87</v>
      </c>
      <c r="AM51" s="25"/>
      <c r="AN51" s="22"/>
      <c r="AO51" s="25"/>
      <c r="AP51" s="22"/>
      <c r="AQ51" s="25"/>
      <c r="AR51" s="22">
        <v>3.5</v>
      </c>
      <c r="AS51" s="25">
        <v>1.97</v>
      </c>
      <c r="AT51" s="22">
        <v>18.73</v>
      </c>
      <c r="AV51" s="55">
        <f t="shared" si="2"/>
        <v>263.93</v>
      </c>
      <c r="AW51" s="56">
        <f t="shared" si="3"/>
        <v>250.1706161137441</v>
      </c>
    </row>
    <row r="52" spans="1:49" x14ac:dyDescent="0.25">
      <c r="A52" s="19" t="s">
        <v>38</v>
      </c>
      <c r="B52" s="20" t="s">
        <v>34</v>
      </c>
      <c r="C52" s="25"/>
      <c r="D52" s="22"/>
      <c r="E52" s="25">
        <v>0.41</v>
      </c>
      <c r="F52" s="22">
        <v>9.43</v>
      </c>
      <c r="G52" s="25"/>
      <c r="H52" s="22"/>
      <c r="I52" s="25">
        <v>0.33</v>
      </c>
      <c r="J52" s="22">
        <v>7.59</v>
      </c>
      <c r="K52" s="25"/>
      <c r="L52" s="22"/>
      <c r="M52" s="25"/>
      <c r="N52" s="22">
        <v>6.13</v>
      </c>
      <c r="O52" s="25">
        <v>0.35499999999999998</v>
      </c>
      <c r="P52" s="22">
        <v>8.17</v>
      </c>
      <c r="Q52" s="25"/>
      <c r="R52" s="22"/>
      <c r="S52" s="25"/>
      <c r="T52" s="22"/>
      <c r="U52" s="25"/>
      <c r="V52" s="22"/>
      <c r="W52" s="25"/>
      <c r="X52" s="22"/>
      <c r="Y52" s="25"/>
      <c r="Z52" s="22"/>
      <c r="AA52" s="25"/>
      <c r="AB52" s="22">
        <v>2.25</v>
      </c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>
        <v>0.12</v>
      </c>
      <c r="AN52" s="22">
        <v>2.76</v>
      </c>
      <c r="AO52" s="25"/>
      <c r="AP52" s="22"/>
      <c r="AQ52" s="25"/>
      <c r="AR52" s="22"/>
      <c r="AS52" s="25"/>
      <c r="AT52" s="22"/>
      <c r="AV52" s="55">
        <f t="shared" si="2"/>
        <v>36.33</v>
      </c>
      <c r="AW52" s="56">
        <f t="shared" si="3"/>
        <v>34.436018957345972</v>
      </c>
    </row>
    <row r="53" spans="1:49" x14ac:dyDescent="0.25">
      <c r="A53" s="19" t="s">
        <v>114</v>
      </c>
      <c r="B53" s="20"/>
      <c r="C53" s="25"/>
      <c r="D53" s="22">
        <v>68</v>
      </c>
      <c r="E53" s="25"/>
      <c r="F53" s="22"/>
      <c r="G53" s="25"/>
      <c r="H53" s="22"/>
      <c r="I53" s="25"/>
      <c r="J53" s="22"/>
      <c r="K53" s="25"/>
      <c r="L53" s="22"/>
      <c r="M53" s="25"/>
      <c r="N53" s="22"/>
      <c r="O53" s="25"/>
      <c r="P53" s="22"/>
      <c r="Q53" s="25"/>
      <c r="R53" s="22"/>
      <c r="S53" s="25"/>
      <c r="T53" s="22"/>
      <c r="U53" s="25"/>
      <c r="V53" s="22"/>
      <c r="W53" s="25"/>
      <c r="X53" s="22"/>
      <c r="Y53" s="25"/>
      <c r="Z53" s="22"/>
      <c r="AA53" s="25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V53" s="55">
        <f t="shared" si="2"/>
        <v>68</v>
      </c>
      <c r="AW53" s="56">
        <f t="shared" si="3"/>
        <v>64.454976303317537</v>
      </c>
    </row>
    <row r="54" spans="1:49" s="18" customFormat="1" x14ac:dyDescent="0.25">
      <c r="A54" s="12" t="s">
        <v>67</v>
      </c>
      <c r="B54" s="13"/>
      <c r="C54" s="14"/>
      <c r="D54" s="15">
        <f>SUM(D55:D56)</f>
        <v>7.8999999999999995</v>
      </c>
      <c r="E54" s="14"/>
      <c r="F54" s="15">
        <f>SUM(F55:F56)</f>
        <v>4.5999999999999996</v>
      </c>
      <c r="G54" s="14"/>
      <c r="H54" s="15">
        <f>SUM(H55:H56)</f>
        <v>12.2</v>
      </c>
      <c r="I54" s="14"/>
      <c r="J54" s="15">
        <f>SUM(J55:J56)</f>
        <v>5.1999999999999993</v>
      </c>
      <c r="K54" s="14"/>
      <c r="L54" s="15">
        <f>SUM(L55:L56)</f>
        <v>0</v>
      </c>
      <c r="M54" s="14"/>
      <c r="N54" s="15">
        <f>SUM(N55:N56)</f>
        <v>15.4</v>
      </c>
      <c r="O54" s="14"/>
      <c r="P54" s="15">
        <f>SUM(P55:P56)</f>
        <v>2.2999999999999998</v>
      </c>
      <c r="Q54" s="14"/>
      <c r="R54" s="15">
        <f>SUM(R55:R56)</f>
        <v>10</v>
      </c>
      <c r="S54" s="14"/>
      <c r="T54" s="15">
        <f>SUM(T55:T56)</f>
        <v>6.9</v>
      </c>
      <c r="U54" s="14"/>
      <c r="V54" s="15">
        <f>SUM(V55:V56)</f>
        <v>0</v>
      </c>
      <c r="W54" s="14"/>
      <c r="X54" s="15">
        <f>SUM(X55:X56)</f>
        <v>6.4</v>
      </c>
      <c r="Y54" s="14"/>
      <c r="Z54" s="15">
        <f>SUM(Z55:Z56)</f>
        <v>0</v>
      </c>
      <c r="AA54" s="14"/>
      <c r="AB54" s="15">
        <f>SUM(AB55:AB56)</f>
        <v>5.8</v>
      </c>
      <c r="AC54" s="14"/>
      <c r="AD54" s="15">
        <f>SUM(AD55:AD56)</f>
        <v>4</v>
      </c>
      <c r="AE54" s="14"/>
      <c r="AF54" s="15">
        <f>SUM(AF55:AF56)</f>
        <v>12.7</v>
      </c>
      <c r="AG54" s="14"/>
      <c r="AH54" s="15">
        <f>SUM(AH55:AH56)</f>
        <v>16.600000000000001</v>
      </c>
      <c r="AI54" s="14"/>
      <c r="AJ54" s="15">
        <f>SUM(AJ55:AJ56)</f>
        <v>2.2999999999999998</v>
      </c>
      <c r="AK54" s="14"/>
      <c r="AL54" s="15">
        <f>SUM(AL55:AL56)</f>
        <v>15.4</v>
      </c>
      <c r="AM54" s="14"/>
      <c r="AN54" s="15">
        <f>SUM(AN55:AN56)</f>
        <v>7.5</v>
      </c>
      <c r="AO54" s="14"/>
      <c r="AP54" s="15">
        <f>SUM(AP55:AP56)</f>
        <v>2</v>
      </c>
      <c r="AQ54" s="14"/>
      <c r="AR54" s="15">
        <f>SUM(AR55:AR56)</f>
        <v>16.200000000000003</v>
      </c>
      <c r="AS54" s="14"/>
      <c r="AT54" s="15">
        <f>SUM(AT55:AT56)</f>
        <v>0</v>
      </c>
      <c r="AV54" s="53">
        <f t="shared" si="2"/>
        <v>153.4</v>
      </c>
      <c r="AW54" s="54">
        <f t="shared" si="3"/>
        <v>145.40284360189574</v>
      </c>
    </row>
    <row r="55" spans="1:49" x14ac:dyDescent="0.25">
      <c r="A55" s="19" t="s">
        <v>68</v>
      </c>
      <c r="B55" s="20" t="s">
        <v>69</v>
      </c>
      <c r="C55" s="21">
        <v>2</v>
      </c>
      <c r="D55" s="22">
        <v>4.5999999999999996</v>
      </c>
      <c r="E55" s="21">
        <v>2</v>
      </c>
      <c r="F55" s="22">
        <v>4.5999999999999996</v>
      </c>
      <c r="G55" s="21">
        <v>1</v>
      </c>
      <c r="H55" s="22">
        <v>2.2999999999999998</v>
      </c>
      <c r="I55" s="21">
        <v>1</v>
      </c>
      <c r="J55" s="22">
        <v>2.2999999999999998</v>
      </c>
      <c r="K55" s="21"/>
      <c r="L55" s="22"/>
      <c r="M55" s="21">
        <v>5</v>
      </c>
      <c r="N55" s="22">
        <v>12</v>
      </c>
      <c r="O55" s="21">
        <v>1</v>
      </c>
      <c r="P55" s="22">
        <v>2.2999999999999998</v>
      </c>
      <c r="Q55" s="21">
        <v>4</v>
      </c>
      <c r="R55" s="22">
        <v>10</v>
      </c>
      <c r="S55" s="21">
        <v>3</v>
      </c>
      <c r="T55" s="22">
        <v>6.9</v>
      </c>
      <c r="U55" s="21"/>
      <c r="V55" s="22"/>
      <c r="W55" s="21">
        <v>1</v>
      </c>
      <c r="X55" s="22">
        <v>2.4</v>
      </c>
      <c r="Y55" s="21"/>
      <c r="Z55" s="22"/>
      <c r="AA55" s="21">
        <v>2</v>
      </c>
      <c r="AB55" s="22">
        <v>5.8</v>
      </c>
      <c r="AC55" s="21"/>
      <c r="AD55" s="22">
        <v>4</v>
      </c>
      <c r="AE55" s="21">
        <v>3</v>
      </c>
      <c r="AF55" s="22">
        <v>6.9</v>
      </c>
      <c r="AG55" s="21">
        <v>4</v>
      </c>
      <c r="AH55" s="22">
        <v>9.1999999999999993</v>
      </c>
      <c r="AI55" s="21">
        <v>1</v>
      </c>
      <c r="AJ55" s="22">
        <v>2.2999999999999998</v>
      </c>
      <c r="AK55" s="21">
        <v>5</v>
      </c>
      <c r="AL55" s="22">
        <v>11.4</v>
      </c>
      <c r="AM55" s="21">
        <v>2</v>
      </c>
      <c r="AN55" s="22">
        <v>4.5999999999999996</v>
      </c>
      <c r="AO55" s="21">
        <v>1</v>
      </c>
      <c r="AP55" s="22">
        <v>2</v>
      </c>
      <c r="AQ55" s="21">
        <v>3</v>
      </c>
      <c r="AR55" s="22">
        <v>6.9</v>
      </c>
      <c r="AS55" s="21"/>
      <c r="AT55" s="22"/>
      <c r="AV55" s="55">
        <f t="shared" si="2"/>
        <v>100.49999999999997</v>
      </c>
      <c r="AW55" s="56">
        <f t="shared" si="3"/>
        <v>95.260663507108987</v>
      </c>
    </row>
    <row r="56" spans="1:49" x14ac:dyDescent="0.25">
      <c r="A56" s="7" t="s">
        <v>70</v>
      </c>
      <c r="B56" s="8" t="s">
        <v>69</v>
      </c>
      <c r="C56" s="26">
        <v>1</v>
      </c>
      <c r="D56" s="10">
        <v>3.3</v>
      </c>
      <c r="E56" s="26"/>
      <c r="F56" s="10"/>
      <c r="G56" s="26">
        <v>3</v>
      </c>
      <c r="H56" s="10">
        <v>9.9</v>
      </c>
      <c r="I56" s="26">
        <v>1</v>
      </c>
      <c r="J56" s="10">
        <v>2.9</v>
      </c>
      <c r="K56" s="26"/>
      <c r="L56" s="10"/>
      <c r="M56" s="26">
        <v>1</v>
      </c>
      <c r="N56" s="10">
        <v>3.4</v>
      </c>
      <c r="O56" s="26"/>
      <c r="P56" s="10"/>
      <c r="Q56" s="26"/>
      <c r="R56" s="10"/>
      <c r="S56" s="26"/>
      <c r="T56" s="10"/>
      <c r="U56" s="26"/>
      <c r="V56" s="10"/>
      <c r="W56" s="26">
        <v>1</v>
      </c>
      <c r="X56" s="10">
        <v>4</v>
      </c>
      <c r="Y56" s="26"/>
      <c r="Z56" s="10"/>
      <c r="AA56" s="26"/>
      <c r="AB56" s="10"/>
      <c r="AC56" s="26"/>
      <c r="AD56" s="10"/>
      <c r="AE56" s="26">
        <v>2</v>
      </c>
      <c r="AF56" s="10">
        <v>5.8</v>
      </c>
      <c r="AG56" s="26">
        <v>3</v>
      </c>
      <c r="AH56" s="10">
        <v>7.4</v>
      </c>
      <c r="AI56" s="26"/>
      <c r="AJ56" s="10"/>
      <c r="AK56" s="26">
        <v>1</v>
      </c>
      <c r="AL56" s="10">
        <v>4</v>
      </c>
      <c r="AM56" s="26">
        <v>1</v>
      </c>
      <c r="AN56" s="10">
        <v>2.9</v>
      </c>
      <c r="AO56" s="26"/>
      <c r="AP56" s="10"/>
      <c r="AQ56" s="26">
        <v>3</v>
      </c>
      <c r="AR56" s="10">
        <v>9.3000000000000007</v>
      </c>
      <c r="AS56" s="26"/>
      <c r="AT56" s="10"/>
      <c r="AV56" s="55">
        <f t="shared" si="2"/>
        <v>52.9</v>
      </c>
      <c r="AW56" s="56">
        <f t="shared" si="3"/>
        <v>50.142180094786731</v>
      </c>
    </row>
    <row r="57" spans="1:49" s="18" customFormat="1" x14ac:dyDescent="0.25">
      <c r="A57" s="12" t="s">
        <v>71</v>
      </c>
      <c r="B57" s="13"/>
      <c r="C57" s="14"/>
      <c r="D57" s="15">
        <f>SUM(D58:D58)</f>
        <v>25</v>
      </c>
      <c r="E57" s="14"/>
      <c r="F57" s="15">
        <f>SUM(F58:F58)</f>
        <v>0</v>
      </c>
      <c r="G57" s="14"/>
      <c r="H57" s="15">
        <f>SUM(H58:H58)</f>
        <v>14.4</v>
      </c>
      <c r="I57" s="14"/>
      <c r="J57" s="15">
        <f>SUM(J58:J58)</f>
        <v>27</v>
      </c>
      <c r="K57" s="14"/>
      <c r="L57" s="15">
        <f>SUM(L58:L58)</f>
        <v>0</v>
      </c>
      <c r="M57" s="14"/>
      <c r="N57" s="15">
        <f>SUM(N58:N58)</f>
        <v>8</v>
      </c>
      <c r="O57" s="14"/>
      <c r="P57" s="15">
        <f>SUM(P58:P58)</f>
        <v>0</v>
      </c>
      <c r="Q57" s="14"/>
      <c r="R57" s="15">
        <f>SUM(R58:R58)</f>
        <v>5.4</v>
      </c>
      <c r="S57" s="14"/>
      <c r="T57" s="15">
        <f>SUM(T58:T58)</f>
        <v>20</v>
      </c>
      <c r="U57" s="14"/>
      <c r="V57" s="15">
        <f>SUM(V58:V58)</f>
        <v>0</v>
      </c>
      <c r="W57" s="14"/>
      <c r="X57" s="15">
        <f>SUM(X58:X58)</f>
        <v>4</v>
      </c>
      <c r="Y57" s="14"/>
      <c r="Z57" s="15">
        <f>SUM(Z58:Z58)</f>
        <v>0</v>
      </c>
      <c r="AA57" s="14"/>
      <c r="AB57" s="15">
        <f>SUM(AB58:AB58)</f>
        <v>12.6</v>
      </c>
      <c r="AC57" s="14"/>
      <c r="AD57" s="15">
        <f>SUM(AD58:AD58)</f>
        <v>0</v>
      </c>
      <c r="AE57" s="14"/>
      <c r="AF57" s="15">
        <f>SUM(AF58:AF58)</f>
        <v>8</v>
      </c>
      <c r="AG57" s="14"/>
      <c r="AH57" s="15">
        <f>SUM(AH58:AH58)</f>
        <v>5.35</v>
      </c>
      <c r="AI57" s="14"/>
      <c r="AJ57" s="15">
        <f>SUM(AJ58:AJ58)</f>
        <v>0</v>
      </c>
      <c r="AK57" s="14"/>
      <c r="AL57" s="15">
        <f>SUM(AL58:AL58)</f>
        <v>9.9</v>
      </c>
      <c r="AM57" s="14"/>
      <c r="AN57" s="15">
        <f>SUM(AN58:AN58)</f>
        <v>10</v>
      </c>
      <c r="AO57" s="14"/>
      <c r="AP57" s="15">
        <f>SUM(AP58:AP58)</f>
        <v>0</v>
      </c>
      <c r="AQ57" s="14"/>
      <c r="AR57" s="15">
        <f>SUM(AR58:AR58)</f>
        <v>5</v>
      </c>
      <c r="AS57" s="14"/>
      <c r="AT57" s="15">
        <f>SUM(AT58:AT58)</f>
        <v>0</v>
      </c>
      <c r="AV57" s="53">
        <f t="shared" si="2"/>
        <v>154.65</v>
      </c>
      <c r="AW57" s="54">
        <f t="shared" si="3"/>
        <v>146.58767772511851</v>
      </c>
    </row>
    <row r="58" spans="1:49" x14ac:dyDescent="0.25">
      <c r="A58" s="7" t="s">
        <v>72</v>
      </c>
      <c r="B58" s="8" t="s">
        <v>73</v>
      </c>
      <c r="C58" s="26">
        <v>39</v>
      </c>
      <c r="D58" s="10">
        <v>25</v>
      </c>
      <c r="E58" s="26"/>
      <c r="F58" s="10"/>
      <c r="G58" s="26">
        <v>69</v>
      </c>
      <c r="H58" s="10">
        <v>14.4</v>
      </c>
      <c r="I58" s="26">
        <v>80</v>
      </c>
      <c r="J58" s="10">
        <v>27</v>
      </c>
      <c r="K58" s="26"/>
      <c r="L58" s="10"/>
      <c r="M58" s="26">
        <v>24</v>
      </c>
      <c r="N58" s="10">
        <v>8</v>
      </c>
      <c r="O58" s="26"/>
      <c r="P58" s="10"/>
      <c r="Q58" s="26">
        <v>18</v>
      </c>
      <c r="R58" s="10">
        <v>5.4</v>
      </c>
      <c r="S58" s="26">
        <v>60</v>
      </c>
      <c r="T58" s="10">
        <v>20</v>
      </c>
      <c r="U58" s="26"/>
      <c r="V58" s="10"/>
      <c r="W58" s="26">
        <v>12</v>
      </c>
      <c r="X58" s="10">
        <v>4</v>
      </c>
      <c r="Y58" s="26"/>
      <c r="Z58" s="10"/>
      <c r="AA58" s="26">
        <v>42</v>
      </c>
      <c r="AB58" s="10">
        <v>12.6</v>
      </c>
      <c r="AC58" s="26"/>
      <c r="AD58" s="10"/>
      <c r="AE58" s="26">
        <v>24</v>
      </c>
      <c r="AF58" s="10">
        <v>8</v>
      </c>
      <c r="AG58" s="26"/>
      <c r="AH58" s="10">
        <v>5.35</v>
      </c>
      <c r="AI58" s="26"/>
      <c r="AJ58" s="10"/>
      <c r="AK58" s="26"/>
      <c r="AL58" s="10">
        <v>9.9</v>
      </c>
      <c r="AM58" s="26">
        <v>30</v>
      </c>
      <c r="AN58" s="10">
        <v>10</v>
      </c>
      <c r="AO58" s="26"/>
      <c r="AP58" s="10"/>
      <c r="AQ58" s="26">
        <v>15</v>
      </c>
      <c r="AR58" s="10">
        <v>5</v>
      </c>
      <c r="AS58" s="26"/>
      <c r="AT58" s="10"/>
      <c r="AV58" s="57">
        <f t="shared" si="2"/>
        <v>154.65</v>
      </c>
      <c r="AW58" s="58">
        <f t="shared" si="3"/>
        <v>146.58767772511851</v>
      </c>
    </row>
    <row r="59" spans="1:49" s="30" customFormat="1" x14ac:dyDescent="0.25">
      <c r="A59" s="138" t="s">
        <v>74</v>
      </c>
      <c r="B59" s="138"/>
      <c r="C59" s="28"/>
      <c r="D59" s="29">
        <f>D3+D29+D45+D54+D57</f>
        <v>415.4</v>
      </c>
      <c r="E59" s="28"/>
      <c r="F59" s="29">
        <f>F3+F29+F45+F54+F57</f>
        <v>1101.3599999999999</v>
      </c>
      <c r="G59" s="28"/>
      <c r="H59" s="29">
        <f>H3+H29+H45+H54+H57</f>
        <v>515.4</v>
      </c>
      <c r="I59" s="28"/>
      <c r="J59" s="29">
        <f>J3+J29+J45+J54+J57</f>
        <v>1089.42</v>
      </c>
      <c r="K59" s="28"/>
      <c r="L59" s="29">
        <f>L3+L29+L45+L54+L57</f>
        <v>86.6</v>
      </c>
      <c r="M59" s="28"/>
      <c r="N59" s="29">
        <f>N3+N29+N45+N54+N57</f>
        <v>421.28000000000003</v>
      </c>
      <c r="O59" s="28"/>
      <c r="P59" s="29">
        <f>P3+P29+P45+P54+P57</f>
        <v>1335.7299999999998</v>
      </c>
      <c r="Q59" s="28"/>
      <c r="R59" s="29">
        <f>R3+R29+R45+R54+R57</f>
        <v>556.12999999999988</v>
      </c>
      <c r="S59" s="28"/>
      <c r="T59" s="29">
        <f>T3+T29+T45+T54+T57</f>
        <v>1074.1900000000003</v>
      </c>
      <c r="U59" s="28"/>
      <c r="V59" s="29">
        <f>V3+V29+V45+V54+V57</f>
        <v>30</v>
      </c>
      <c r="W59" s="28"/>
      <c r="X59" s="29">
        <f>X3+X29+X45+X54+X57</f>
        <v>404.69999999999993</v>
      </c>
      <c r="Y59" s="28"/>
      <c r="Z59" s="29">
        <f>Z3+Z29+Z45+Z54+Z57</f>
        <v>1163.3000000000002</v>
      </c>
      <c r="AA59" s="28"/>
      <c r="AB59" s="29">
        <f>AB3+AB29+AB45+AB54+AB57</f>
        <v>607.80999999999995</v>
      </c>
      <c r="AC59" s="28"/>
      <c r="AD59" s="29">
        <f>AD3+AD29+AD45+AD54+AD57</f>
        <v>89</v>
      </c>
      <c r="AE59" s="28"/>
      <c r="AF59" s="29">
        <f>AF3+AF29+AF45+AF54+AF57</f>
        <v>1279.1000000000001</v>
      </c>
      <c r="AG59" s="28"/>
      <c r="AH59" s="29">
        <f>AH3+AH29+AH45+AH54+AH57</f>
        <v>473.61000000000007</v>
      </c>
      <c r="AI59" s="28"/>
      <c r="AJ59" s="29">
        <f>AJ3+AJ29+AJ45+AJ54+AJ57</f>
        <v>1320.8300000000002</v>
      </c>
      <c r="AK59" s="28"/>
      <c r="AL59" s="29">
        <f>AL3+AL29+AL45+AL54+AL57</f>
        <v>640.79</v>
      </c>
      <c r="AM59" s="28"/>
      <c r="AN59" s="29">
        <f>AN3+AN29+AN45+AN54+AN57</f>
        <v>957.47000000000014</v>
      </c>
      <c r="AO59" s="28"/>
      <c r="AP59" s="29">
        <f>AP3+AP29+AP45+AP54+AP57</f>
        <v>90.5</v>
      </c>
      <c r="AQ59" s="28"/>
      <c r="AR59" s="29">
        <f>AR3+AR29+AR45+AR54+AR57</f>
        <v>415.69999999999993</v>
      </c>
      <c r="AS59" s="28"/>
      <c r="AT59" s="29">
        <f>AT3+AT29+AT45+AT54+AT57</f>
        <v>1071.8300000000002</v>
      </c>
      <c r="AV59" s="59">
        <f t="shared" si="2"/>
        <v>15140.150000000001</v>
      </c>
      <c r="AW59" s="59">
        <f t="shared" si="3"/>
        <v>14350.853080568722</v>
      </c>
    </row>
    <row r="60" spans="1:49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V60"/>
      <c r="AW60"/>
    </row>
    <row r="61" spans="1:49" x14ac:dyDescent="0.25">
      <c r="A61" s="139" t="s">
        <v>75</v>
      </c>
      <c r="B61" s="33" t="s">
        <v>76</v>
      </c>
      <c r="C61" s="34"/>
      <c r="D61" s="35">
        <v>415.5</v>
      </c>
      <c r="E61" s="34"/>
      <c r="F61" s="36">
        <v>1069</v>
      </c>
      <c r="G61" s="34"/>
      <c r="H61" s="37">
        <v>515</v>
      </c>
      <c r="I61" s="34"/>
      <c r="J61" s="37">
        <v>1057</v>
      </c>
      <c r="K61" s="34"/>
      <c r="L61" s="37">
        <v>86.6</v>
      </c>
      <c r="M61" s="34"/>
      <c r="N61" s="37">
        <v>421</v>
      </c>
      <c r="O61" s="34"/>
      <c r="P61" s="36">
        <f>1310-57</f>
        <v>1253</v>
      </c>
      <c r="Q61" s="34"/>
      <c r="R61" s="37">
        <v>556</v>
      </c>
      <c r="S61" s="34"/>
      <c r="T61" s="37">
        <v>1017.2</v>
      </c>
      <c r="U61" s="34"/>
      <c r="V61" s="37">
        <v>30</v>
      </c>
      <c r="W61" s="34"/>
      <c r="X61" s="37">
        <v>404</v>
      </c>
      <c r="Y61" s="34"/>
      <c r="Z61" s="37">
        <v>1141.2</v>
      </c>
      <c r="AA61" s="34"/>
      <c r="AB61" s="37">
        <v>608</v>
      </c>
      <c r="AC61" s="34"/>
      <c r="AD61" s="37">
        <v>90</v>
      </c>
      <c r="AE61" s="34"/>
      <c r="AF61" s="37">
        <v>1163.58</v>
      </c>
      <c r="AG61" s="34"/>
      <c r="AH61" s="37">
        <v>473.6</v>
      </c>
      <c r="AI61" s="34"/>
      <c r="AJ61" s="37">
        <f>1260-57.7</f>
        <v>1202.3</v>
      </c>
      <c r="AK61" s="34"/>
      <c r="AL61" s="37">
        <v>640.5</v>
      </c>
      <c r="AM61" s="34"/>
      <c r="AN61" s="37">
        <v>829</v>
      </c>
      <c r="AO61" s="34"/>
      <c r="AP61" s="37">
        <v>90.5</v>
      </c>
      <c r="AQ61" s="34"/>
      <c r="AR61" s="37">
        <v>384</v>
      </c>
      <c r="AS61" s="34"/>
      <c r="AT61" s="37">
        <v>1007</v>
      </c>
      <c r="AV61" s="60">
        <f>SUM(AT61,AR61,AP61,AN61,AL61,AJ61,AH61,AF61,AD61,AB61,Z61,X61,V61,T61,R61,P61,N61,L61,J61,H61,F61,D61)</f>
        <v>14453.980000000001</v>
      </c>
      <c r="AW61" s="61">
        <f>AV61/1.055</f>
        <v>13700.454976303319</v>
      </c>
    </row>
    <row r="62" spans="1:49" x14ac:dyDescent="0.25">
      <c r="A62" s="139"/>
      <c r="B62" s="38" t="s">
        <v>77</v>
      </c>
      <c r="C62" s="39"/>
      <c r="D62" s="40"/>
      <c r="E62" s="39">
        <v>2</v>
      </c>
      <c r="F62" s="41">
        <v>32.5</v>
      </c>
      <c r="G62" s="39"/>
      <c r="H62" s="42"/>
      <c r="I62" s="39">
        <v>2</v>
      </c>
      <c r="J62" s="42">
        <v>32.5</v>
      </c>
      <c r="K62" s="39"/>
      <c r="L62" s="42"/>
      <c r="M62" s="39"/>
      <c r="N62" s="42"/>
      <c r="O62" s="39">
        <v>4</v>
      </c>
      <c r="P62" s="41">
        <v>82.9</v>
      </c>
      <c r="Q62" s="39"/>
      <c r="R62" s="42"/>
      <c r="S62" s="39">
        <v>2</v>
      </c>
      <c r="T62" s="42">
        <v>57</v>
      </c>
      <c r="U62" s="39"/>
      <c r="V62" s="42"/>
      <c r="W62" s="39"/>
      <c r="X62" s="42"/>
      <c r="Y62" s="39">
        <v>1</v>
      </c>
      <c r="Z62" s="42">
        <v>22.1</v>
      </c>
      <c r="AA62" s="39"/>
      <c r="AB62" s="42"/>
      <c r="AC62" s="39"/>
      <c r="AD62" s="42"/>
      <c r="AE62" s="39">
        <v>6</v>
      </c>
      <c r="AF62" s="42">
        <v>114.42</v>
      </c>
      <c r="AG62" s="39"/>
      <c r="AH62" s="42"/>
      <c r="AI62" s="39">
        <v>6</v>
      </c>
      <c r="AJ62" s="42">
        <v>118.5</v>
      </c>
      <c r="AK62" s="39"/>
      <c r="AL62" s="42"/>
      <c r="AM62" s="39">
        <v>8</v>
      </c>
      <c r="AN62" s="42">
        <v>128.63</v>
      </c>
      <c r="AO62" s="39"/>
      <c r="AP62" s="42"/>
      <c r="AQ62" s="39">
        <v>1</v>
      </c>
      <c r="AR62" s="42">
        <v>32</v>
      </c>
      <c r="AS62" s="39">
        <v>3</v>
      </c>
      <c r="AT62" s="42">
        <v>64.61</v>
      </c>
      <c r="AU62">
        <f>SUM(AS62,AQ62,AO62,AM62,AK62,AI62,AG62,AE62,AC62,AA62,Y62,W62,U62,S62,Q62,O62,M62,K62,I62,G62,E62,C62)</f>
        <v>35</v>
      </c>
      <c r="AV62" s="62">
        <f>SUM(AT62,AR62,AP62,AN62,AL62,AJ62,AH62,AF62,AD62,AB62,Z62,X62,V62,T62,R62,P62,N62,L62,J62,H62,F62,D62)</f>
        <v>685.16</v>
      </c>
      <c r="AW62" s="63">
        <f>AV62/1.055</f>
        <v>649.44075829383883</v>
      </c>
    </row>
    <row r="63" spans="1:49" x14ac:dyDescent="0.25">
      <c r="A63" s="139"/>
      <c r="B63" s="38"/>
      <c r="C63" s="43"/>
      <c r="D63" s="40"/>
      <c r="E63" s="43"/>
      <c r="F63" s="41"/>
      <c r="G63" s="43"/>
      <c r="H63" s="42"/>
      <c r="I63" s="43"/>
      <c r="J63" s="42"/>
      <c r="K63" s="43"/>
      <c r="L63" s="42"/>
      <c r="M63" s="43"/>
      <c r="N63" s="42"/>
      <c r="O63" s="43"/>
      <c r="P63" s="41"/>
      <c r="Q63" s="43"/>
      <c r="R63" s="42"/>
      <c r="S63" s="43"/>
      <c r="T63" s="42"/>
      <c r="U63" s="43"/>
      <c r="V63" s="42"/>
      <c r="W63" s="43"/>
      <c r="X63" s="42"/>
      <c r="Y63" s="43"/>
      <c r="Z63" s="42"/>
      <c r="AA63" s="43"/>
      <c r="AB63" s="42"/>
      <c r="AC63" s="43"/>
      <c r="AD63" s="42"/>
      <c r="AE63" s="43"/>
      <c r="AF63" s="42"/>
      <c r="AG63" s="43"/>
      <c r="AH63" s="42"/>
      <c r="AI63" s="43"/>
      <c r="AJ63" s="42"/>
      <c r="AK63" s="43"/>
      <c r="AL63" s="42"/>
      <c r="AM63" s="43"/>
      <c r="AN63" s="42"/>
      <c r="AO63" s="43"/>
      <c r="AP63" s="42"/>
      <c r="AQ63" s="43"/>
      <c r="AR63" s="42"/>
      <c r="AS63" s="43"/>
      <c r="AT63" s="42"/>
      <c r="AV63" s="62"/>
      <c r="AW63" s="63"/>
    </row>
    <row r="64" spans="1:49" s="51" customFormat="1" x14ac:dyDescent="0.25">
      <c r="A64" s="139"/>
      <c r="B64" s="44" t="s">
        <v>78</v>
      </c>
      <c r="C64" s="45"/>
      <c r="D64" s="46">
        <f>SUM(D61:D63)</f>
        <v>415.5</v>
      </c>
      <c r="E64" s="45"/>
      <c r="F64" s="47">
        <f>SUM(F61:F63)</f>
        <v>1101.5</v>
      </c>
      <c r="G64" s="45"/>
      <c r="H64" s="48">
        <f>SUM(H61:H63)</f>
        <v>515</v>
      </c>
      <c r="I64" s="45"/>
      <c r="J64" s="48">
        <f>SUM(J61:J63)</f>
        <v>1089.5</v>
      </c>
      <c r="K64" s="45"/>
      <c r="L64" s="48">
        <f>SUM(L61:L63)</f>
        <v>86.6</v>
      </c>
      <c r="M64" s="45"/>
      <c r="N64" s="48">
        <f>SUM(N61:N63)</f>
        <v>421</v>
      </c>
      <c r="O64" s="45"/>
      <c r="P64" s="47">
        <f>SUM(P61:P63)</f>
        <v>1335.9</v>
      </c>
      <c r="Q64" s="45"/>
      <c r="R64" s="48">
        <f>SUM(R61:R63)</f>
        <v>556</v>
      </c>
      <c r="S64" s="45"/>
      <c r="T64" s="48">
        <f>SUM(T61:T63)</f>
        <v>1074.2</v>
      </c>
      <c r="U64" s="45"/>
      <c r="V64" s="48">
        <f>SUM(V61:V63)</f>
        <v>30</v>
      </c>
      <c r="W64" s="45"/>
      <c r="X64" s="48">
        <f>SUM(X61:X63)</f>
        <v>404</v>
      </c>
      <c r="Y64" s="45"/>
      <c r="Z64" s="48">
        <f>SUM(Z61:Z63)</f>
        <v>1163.3</v>
      </c>
      <c r="AA64" s="45"/>
      <c r="AB64" s="48">
        <f>SUM(AB61:AB63)</f>
        <v>608</v>
      </c>
      <c r="AC64" s="45"/>
      <c r="AD64" s="48">
        <f>SUM(AD61:AD63)</f>
        <v>90</v>
      </c>
      <c r="AE64" s="45"/>
      <c r="AF64" s="48">
        <f>SUM(AF61:AF63)</f>
        <v>1278</v>
      </c>
      <c r="AG64" s="45"/>
      <c r="AH64" s="48">
        <f>SUM(AH61:AH63)</f>
        <v>473.6</v>
      </c>
      <c r="AI64" s="45"/>
      <c r="AJ64" s="48">
        <f>SUM(AJ61:AJ63)</f>
        <v>1320.8</v>
      </c>
      <c r="AK64" s="45"/>
      <c r="AL64" s="48">
        <f>SUM(AL61:AL63)</f>
        <v>640.5</v>
      </c>
      <c r="AM64" s="45"/>
      <c r="AN64" s="48">
        <f>SUM(AN61:AN63)</f>
        <v>957.63</v>
      </c>
      <c r="AO64" s="45"/>
      <c r="AP64" s="48">
        <f>SUM(AP61:AP63)</f>
        <v>90.5</v>
      </c>
      <c r="AQ64" s="45"/>
      <c r="AR64" s="48">
        <f>SUM(AR61:AR63)</f>
        <v>416</v>
      </c>
      <c r="AS64" s="45"/>
      <c r="AT64" s="48">
        <f>SUM(AT61:AT63)</f>
        <v>1071.6099999999999</v>
      </c>
      <c r="AV64" s="64">
        <f>AV61+AV62</f>
        <v>15139.140000000001</v>
      </c>
      <c r="AW64" s="65">
        <f>AV64/1.055</f>
        <v>14349.895734597158</v>
      </c>
    </row>
    <row r="65" spans="3:46" ht="15" customHeight="1" x14ac:dyDescent="0.25">
      <c r="C65" s="32"/>
      <c r="D65" s="32"/>
      <c r="E65" s="32"/>
      <c r="F65" s="32"/>
      <c r="G65" s="32"/>
      <c r="H65" s="32"/>
      <c r="I65" s="32"/>
      <c r="J65" s="32"/>
      <c r="K65" s="142" t="s">
        <v>115</v>
      </c>
      <c r="L65" s="14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66"/>
      <c r="AD65" s="66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3:46" x14ac:dyDescent="0.25">
      <c r="K66" s="143"/>
      <c r="L66" s="144"/>
    </row>
  </sheetData>
  <autoFilter ref="AV1:AW59"/>
  <mergeCells count="27">
    <mergeCell ref="A61:A64"/>
    <mergeCell ref="K65:L66"/>
    <mergeCell ref="AQ1:AR1"/>
    <mergeCell ref="AS1:AT1"/>
    <mergeCell ref="AV1:AV2"/>
    <mergeCell ref="U1:V1"/>
    <mergeCell ref="C1:D1"/>
    <mergeCell ref="E1:F1"/>
    <mergeCell ref="G1:H1"/>
    <mergeCell ref="I1:J1"/>
    <mergeCell ref="K1:L1"/>
    <mergeCell ref="AW1:AW2"/>
    <mergeCell ref="A59:B59"/>
    <mergeCell ref="AG1:AH1"/>
    <mergeCell ref="AI1:AJ1"/>
    <mergeCell ref="AK1:AL1"/>
    <mergeCell ref="AM1:AN1"/>
    <mergeCell ref="AO1:AP1"/>
    <mergeCell ref="W1:X1"/>
    <mergeCell ref="Y1:Z1"/>
    <mergeCell ref="AA1:AB1"/>
    <mergeCell ref="AC1:AD1"/>
    <mergeCell ref="AE1:AF1"/>
    <mergeCell ref="M1:N1"/>
    <mergeCell ref="O1:P1"/>
    <mergeCell ref="Q1:R1"/>
    <mergeCell ref="S1:T1"/>
  </mergeCells>
  <printOptions horizontalCentered="1"/>
  <pageMargins left="0.70833333333333304" right="0.70833333333333304" top="0.74861111111111101" bottom="0.35416666666666702" header="0.31527777777777799" footer="0.51180555555555496"/>
  <pageSetup paperSize="0" scale="0" firstPageNumber="0" orientation="portrait" usePrinterDefaults="0" horizontalDpi="0" verticalDpi="0" copies="0"/>
  <headerFooter>
    <oddHeader>&amp;C&amp;14VENTE MARCHES de l'EARL de Guillounet :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FF"/>
  </sheetPr>
  <dimension ref="A1:BA67"/>
  <sheetViews>
    <sheetView windowProtection="1" zoomScaleNormal="100" workbookViewId="0">
      <pane xSplit="2" ySplit="2" topLeftCell="C39" activePane="bottomRight" state="frozen"/>
      <selection pane="topRight" activeCell="C1" sqref="C1"/>
      <selection pane="bottomLeft" activeCell="A39" sqref="A39"/>
      <selection pane="bottomRight" activeCell="Q1" sqref="Q1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4257812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116</v>
      </c>
      <c r="D1" s="136"/>
      <c r="E1" s="136" t="s">
        <v>117</v>
      </c>
      <c r="F1" s="136"/>
      <c r="G1" s="136" t="s">
        <v>118</v>
      </c>
      <c r="H1" s="136"/>
      <c r="I1" s="136" t="s">
        <v>119</v>
      </c>
      <c r="J1" s="136"/>
      <c r="K1" s="145" t="s">
        <v>120</v>
      </c>
      <c r="L1" s="145"/>
      <c r="M1" s="136" t="s">
        <v>121</v>
      </c>
      <c r="N1" s="136"/>
      <c r="O1" s="136" t="s">
        <v>122</v>
      </c>
      <c r="P1" s="136"/>
      <c r="Q1" s="136" t="s">
        <v>123</v>
      </c>
      <c r="R1" s="136"/>
      <c r="S1" s="136" t="s">
        <v>124</v>
      </c>
      <c r="T1" s="136"/>
      <c r="U1" s="136" t="s">
        <v>125</v>
      </c>
      <c r="V1" s="136"/>
      <c r="W1" s="136" t="s">
        <v>126</v>
      </c>
      <c r="X1" s="136"/>
      <c r="Y1" s="136" t="s">
        <v>127</v>
      </c>
      <c r="Z1" s="136"/>
      <c r="AA1" s="136" t="s">
        <v>128</v>
      </c>
      <c r="AB1" s="136"/>
      <c r="AC1" s="136" t="s">
        <v>129</v>
      </c>
      <c r="AD1" s="136"/>
      <c r="AE1" s="136" t="s">
        <v>130</v>
      </c>
      <c r="AF1" s="136"/>
      <c r="AG1" s="136" t="s">
        <v>131</v>
      </c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SUM(D4:D28)</f>
        <v>427.88</v>
      </c>
      <c r="E3" s="14"/>
      <c r="F3" s="15">
        <f>SUM(F4:F28)</f>
        <v>981.87000000000012</v>
      </c>
      <c r="G3" s="14"/>
      <c r="H3" s="15">
        <f>SUM(H4:H28)</f>
        <v>291.45999999999998</v>
      </c>
      <c r="I3" s="14"/>
      <c r="J3" s="15">
        <f>SUM(J4:J28)</f>
        <v>867.46999999999991</v>
      </c>
      <c r="K3" s="70"/>
      <c r="L3" s="70">
        <f>SUM(L4:L28)</f>
        <v>401.15</v>
      </c>
      <c r="M3" s="14"/>
      <c r="N3" s="15">
        <f>SUM(N4:N28)</f>
        <v>769.8</v>
      </c>
      <c r="O3" s="14"/>
      <c r="P3" s="15">
        <f>SUM(P4:P28)</f>
        <v>379.2700000000001</v>
      </c>
      <c r="Q3" s="14"/>
      <c r="R3" s="15">
        <f>SUM(R4:R28)</f>
        <v>1167.98</v>
      </c>
      <c r="S3" s="14"/>
      <c r="T3" s="15">
        <f>SUM(T4:T28)</f>
        <v>394.37</v>
      </c>
      <c r="U3" s="14"/>
      <c r="V3" s="15">
        <f>SUM(V4:V28)</f>
        <v>1116.0899999999999</v>
      </c>
      <c r="W3" s="14"/>
      <c r="X3" s="15">
        <f>SUM(X4:X28)</f>
        <v>31.5</v>
      </c>
      <c r="Y3" s="14"/>
      <c r="Z3" s="15">
        <f>SUM(Z4:Z28)</f>
        <v>61.800000000000004</v>
      </c>
      <c r="AA3" s="14"/>
      <c r="AB3" s="15">
        <f>SUM(AB4:AB28)</f>
        <v>513.35</v>
      </c>
      <c r="AC3" s="14"/>
      <c r="AD3" s="15">
        <f>SUM(AD4:AD28)</f>
        <v>829.76999999999987</v>
      </c>
      <c r="AE3" s="14"/>
      <c r="AF3" s="15">
        <f>SUM(AF4:AF28)</f>
        <v>471.94000000000005</v>
      </c>
      <c r="AG3" s="14"/>
      <c r="AH3" s="15">
        <f>SUM(AH4:AH29)</f>
        <v>1008.85</v>
      </c>
      <c r="AI3" s="14"/>
      <c r="AJ3" s="15">
        <f>SUM(AJ4:AJ28)</f>
        <v>0</v>
      </c>
      <c r="AK3" s="14"/>
      <c r="AL3" s="15">
        <f>SUM(AL4:AL28)</f>
        <v>0</v>
      </c>
      <c r="AM3" s="14"/>
      <c r="AN3" s="15">
        <f>SUM(AN4:AN28)</f>
        <v>0</v>
      </c>
      <c r="AO3" s="14"/>
      <c r="AP3" s="15">
        <f>SUM(AP4:AP28)</f>
        <v>0</v>
      </c>
      <c r="AQ3" s="14"/>
      <c r="AR3" s="15">
        <f>SUM(AR4:AR28)</f>
        <v>0</v>
      </c>
      <c r="AS3" s="14"/>
      <c r="AT3" s="15">
        <f>SUM(AT4:AT28)</f>
        <v>0</v>
      </c>
      <c r="AU3" s="14"/>
      <c r="AV3" s="15">
        <f>SUM(AV4:AV28)</f>
        <v>0</v>
      </c>
      <c r="AX3" s="71">
        <f t="shared" ref="AX3:AX29" si="0">SUM(AV3,AT3,AR3,AP3,AN3,AL3,AJ3,AH3,AF3,AD3,AB3,Z3,X3,V3,T3,R3,P3,N3,J3,H3,F3,D3)</f>
        <v>9313.4</v>
      </c>
      <c r="AY3" s="15">
        <f t="shared" ref="AY3:AY34" si="1">AX3/1.055</f>
        <v>8827.8672985781996</v>
      </c>
    </row>
    <row r="4" spans="1:51" x14ac:dyDescent="0.25">
      <c r="A4" s="19" t="s">
        <v>25</v>
      </c>
      <c r="B4" s="20" t="s">
        <v>26</v>
      </c>
      <c r="C4" s="21">
        <v>56</v>
      </c>
      <c r="D4" s="22">
        <v>196</v>
      </c>
      <c r="E4" s="21">
        <f>27+2*17+3*11+7</f>
        <v>101</v>
      </c>
      <c r="F4" s="22">
        <f>94.5+119+110+23.1</f>
        <v>346.6</v>
      </c>
      <c r="G4" s="21">
        <v>33</v>
      </c>
      <c r="H4" s="22">
        <f>G4*3.5</f>
        <v>115.5</v>
      </c>
      <c r="I4" s="21">
        <f>42+18*2+9*3+2</f>
        <v>107</v>
      </c>
      <c r="J4" s="22">
        <f>147+126+90+6.6</f>
        <v>369.6</v>
      </c>
      <c r="K4" s="72">
        <v>40</v>
      </c>
      <c r="L4" s="73">
        <f>140+15.07</f>
        <v>155.07</v>
      </c>
      <c r="M4" s="21">
        <f>34+2*12+3*11+6</f>
        <v>97</v>
      </c>
      <c r="N4" s="22">
        <f>119+84+110+19.8</f>
        <v>332.8</v>
      </c>
      <c r="O4" s="21">
        <v>50</v>
      </c>
      <c r="P4" s="22">
        <v>133</v>
      </c>
      <c r="Q4" s="21">
        <f>36+2*8+3*11+1</f>
        <v>86</v>
      </c>
      <c r="R4" s="22">
        <f>126+56+110+3.3</f>
        <v>295.3</v>
      </c>
      <c r="S4" s="21">
        <v>16</v>
      </c>
      <c r="T4" s="22">
        <v>119</v>
      </c>
      <c r="U4" s="21">
        <f>40+2*11+3*10+2</f>
        <v>94</v>
      </c>
      <c r="V4" s="22">
        <f>140+77+100+6.6</f>
        <v>323.60000000000002</v>
      </c>
      <c r="W4" s="21"/>
      <c r="X4" s="22"/>
      <c r="Y4" s="21"/>
      <c r="Z4" s="22"/>
      <c r="AA4" s="21">
        <v>36</v>
      </c>
      <c r="AB4" s="22">
        <v>126</v>
      </c>
      <c r="AC4" s="21">
        <f>16+2*11+3*8+4</f>
        <v>66</v>
      </c>
      <c r="AD4" s="22">
        <f>56+77+80+13.2</f>
        <v>226.2</v>
      </c>
      <c r="AE4" s="21">
        <v>37</v>
      </c>
      <c r="AF4" s="22">
        <v>129.5</v>
      </c>
      <c r="AG4" s="21">
        <f>24+2*12+3*9+3</f>
        <v>78</v>
      </c>
      <c r="AH4" s="22">
        <f>84+84+90+9.9</f>
        <v>267.89999999999998</v>
      </c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2980.9999999999995</v>
      </c>
      <c r="AY4" s="22">
        <f t="shared" si="1"/>
        <v>2825.5924170616113</v>
      </c>
    </row>
    <row r="5" spans="1:51" x14ac:dyDescent="0.25">
      <c r="A5" s="19" t="s">
        <v>27</v>
      </c>
      <c r="B5" s="20" t="s">
        <v>26</v>
      </c>
      <c r="C5" s="21">
        <v>23</v>
      </c>
      <c r="D5" s="22">
        <v>75.900000000000006</v>
      </c>
      <c r="E5" s="21">
        <f>31+6*2+3*14+7</f>
        <v>92</v>
      </c>
      <c r="F5" s="22">
        <f>102.3+39.6+133+21.7</f>
        <v>296.59999999999997</v>
      </c>
      <c r="G5" s="21">
        <v>22</v>
      </c>
      <c r="H5" s="22">
        <f>G5*3.3</f>
        <v>72.599999999999994</v>
      </c>
      <c r="I5" s="21">
        <f>27+2*7+3*8+1</f>
        <v>66</v>
      </c>
      <c r="J5" s="22">
        <f>89.1+46.2+76+3.1</f>
        <v>214.4</v>
      </c>
      <c r="K5" s="72">
        <v>29</v>
      </c>
      <c r="L5" s="73">
        <v>95.7</v>
      </c>
      <c r="M5" s="21">
        <f>26+2*6+3*8+2</f>
        <v>64</v>
      </c>
      <c r="N5" s="22">
        <f>85.8+39.6+76+6.2</f>
        <v>207.6</v>
      </c>
      <c r="O5" s="21">
        <v>40</v>
      </c>
      <c r="P5" s="22">
        <v>62.7</v>
      </c>
      <c r="Q5" s="21">
        <f>21+2*6+3*11+2</f>
        <v>68</v>
      </c>
      <c r="R5" s="22">
        <f>69.3+39.6+104.5+6</f>
        <v>219.4</v>
      </c>
      <c r="S5" s="21">
        <v>11</v>
      </c>
      <c r="T5" s="22">
        <v>95.7</v>
      </c>
      <c r="U5" s="21">
        <f>15+2*6+3*12+1</f>
        <v>64</v>
      </c>
      <c r="V5" s="22">
        <f>49.5+39.6+114+3.1</f>
        <v>206.2</v>
      </c>
      <c r="W5" s="21"/>
      <c r="X5" s="22"/>
      <c r="Y5" s="21"/>
      <c r="Z5" s="22"/>
      <c r="AA5" s="21">
        <v>32</v>
      </c>
      <c r="AB5" s="22">
        <v>105.6</v>
      </c>
      <c r="AC5" s="21">
        <f>23+2*3+3*9+3</f>
        <v>59</v>
      </c>
      <c r="AD5" s="22">
        <f>75.9+19.8+85.5+9.3</f>
        <v>190.5</v>
      </c>
      <c r="AE5" s="21">
        <v>20</v>
      </c>
      <c r="AF5" s="22">
        <v>66</v>
      </c>
      <c r="AG5" s="21">
        <f>19+2*3+3*3</f>
        <v>34</v>
      </c>
      <c r="AH5" s="22">
        <f>62.7+19.8+28.5+86</f>
        <v>197</v>
      </c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2010.2</v>
      </c>
      <c r="AY5" s="22">
        <f t="shared" si="1"/>
        <v>1905.4028436018959</v>
      </c>
    </row>
    <row r="6" spans="1:51" x14ac:dyDescent="0.25">
      <c r="A6" s="19" t="s">
        <v>28</v>
      </c>
      <c r="B6" s="20" t="s">
        <v>26</v>
      </c>
      <c r="C6" s="21"/>
      <c r="D6" s="22"/>
      <c r="E6" s="21">
        <v>8</v>
      </c>
      <c r="F6" s="22">
        <v>24</v>
      </c>
      <c r="G6" s="21">
        <v>2</v>
      </c>
      <c r="H6" s="22">
        <v>5</v>
      </c>
      <c r="I6" s="21">
        <v>9</v>
      </c>
      <c r="J6" s="22">
        <v>27</v>
      </c>
      <c r="K6" s="72">
        <v>2</v>
      </c>
      <c r="L6" s="73">
        <v>33.5</v>
      </c>
      <c r="M6" s="21">
        <v>5</v>
      </c>
      <c r="N6" s="22">
        <f>12.5+21</f>
        <v>33.5</v>
      </c>
      <c r="O6" s="21"/>
      <c r="P6" s="22"/>
      <c r="Q6" s="21">
        <v>12</v>
      </c>
      <c r="R6" s="22">
        <v>30</v>
      </c>
      <c r="S6" s="21"/>
      <c r="T6" s="22"/>
      <c r="U6" s="21"/>
      <c r="V6" s="22">
        <v>89</v>
      </c>
      <c r="W6" s="21"/>
      <c r="X6" s="22">
        <v>29</v>
      </c>
      <c r="Y6" s="21"/>
      <c r="Z6" s="22">
        <v>41</v>
      </c>
      <c r="AA6" s="21"/>
      <c r="AB6" s="22"/>
      <c r="AC6" s="21">
        <v>8</v>
      </c>
      <c r="AD6" s="22">
        <v>20</v>
      </c>
      <c r="AE6" s="21"/>
      <c r="AF6" s="22"/>
      <c r="AG6" s="21"/>
      <c r="AH6" s="22"/>
      <c r="AI6" s="24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298.5</v>
      </c>
      <c r="AY6" s="22">
        <f t="shared" si="1"/>
        <v>282.93838862559244</v>
      </c>
    </row>
    <row r="7" spans="1:51" x14ac:dyDescent="0.25">
      <c r="A7" s="19" t="s">
        <v>29</v>
      </c>
      <c r="B7" s="20" t="s">
        <v>26</v>
      </c>
      <c r="C7" s="21"/>
      <c r="D7" s="22">
        <v>29</v>
      </c>
      <c r="E7" s="21">
        <v>8</v>
      </c>
      <c r="F7" s="22">
        <v>21</v>
      </c>
      <c r="G7" s="21">
        <v>4</v>
      </c>
      <c r="H7" s="22">
        <f>G7*2</f>
        <v>8</v>
      </c>
      <c r="I7" s="21"/>
      <c r="J7" s="22"/>
      <c r="K7" s="72"/>
      <c r="L7" s="73"/>
      <c r="M7" s="21"/>
      <c r="N7" s="22"/>
      <c r="O7" s="21"/>
      <c r="P7" s="22"/>
      <c r="Q7" s="21"/>
      <c r="R7" s="22">
        <v>242</v>
      </c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300</v>
      </c>
      <c r="AY7" s="22">
        <f t="shared" si="1"/>
        <v>284.36018957345971</v>
      </c>
    </row>
    <row r="8" spans="1:51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72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104</v>
      </c>
      <c r="B9" s="20" t="s">
        <v>26</v>
      </c>
      <c r="C9" s="21">
        <v>1</v>
      </c>
      <c r="D9" s="22">
        <v>3.5</v>
      </c>
      <c r="E9" s="21">
        <v>1</v>
      </c>
      <c r="F9" s="22">
        <v>2.9</v>
      </c>
      <c r="G9" s="21"/>
      <c r="H9" s="22"/>
      <c r="I9" s="21"/>
      <c r="J9" s="22"/>
      <c r="K9" s="72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6.4</v>
      </c>
      <c r="AY9" s="22">
        <f t="shared" si="1"/>
        <v>6.0663507109004744</v>
      </c>
    </row>
    <row r="10" spans="1:51" x14ac:dyDescent="0.25">
      <c r="A10" s="19" t="s">
        <v>31</v>
      </c>
      <c r="B10" s="20" t="s">
        <v>26</v>
      </c>
      <c r="C10" s="21">
        <v>5</v>
      </c>
      <c r="D10" s="22">
        <v>17.5</v>
      </c>
      <c r="E10" s="21">
        <v>30</v>
      </c>
      <c r="F10" s="22">
        <v>105</v>
      </c>
      <c r="G10" s="21"/>
      <c r="H10" s="22"/>
      <c r="I10" s="21">
        <v>7</v>
      </c>
      <c r="J10" s="22">
        <v>24.5</v>
      </c>
      <c r="K10" s="72">
        <v>4</v>
      </c>
      <c r="L10" s="73">
        <v>14</v>
      </c>
      <c r="M10" s="21">
        <v>9</v>
      </c>
      <c r="N10" s="22">
        <v>31.5</v>
      </c>
      <c r="O10" s="21"/>
      <c r="P10" s="22">
        <v>14</v>
      </c>
      <c r="Q10" s="21"/>
      <c r="R10" s="22"/>
      <c r="S10" s="21"/>
      <c r="T10" s="22"/>
      <c r="U10" s="21">
        <v>2</v>
      </c>
      <c r="V10" s="22">
        <v>7</v>
      </c>
      <c r="W10" s="21"/>
      <c r="X10" s="22"/>
      <c r="Y10" s="21"/>
      <c r="Z10" s="22"/>
      <c r="AA10" s="21"/>
      <c r="AB10" s="22">
        <v>10.5</v>
      </c>
      <c r="AC10" s="21">
        <v>7</v>
      </c>
      <c r="AD10" s="22">
        <v>24.5</v>
      </c>
      <c r="AE10" s="21"/>
      <c r="AF10" s="22"/>
      <c r="AG10" s="21">
        <v>6</v>
      </c>
      <c r="AH10" s="22">
        <v>21</v>
      </c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255.5</v>
      </c>
      <c r="AY10" s="22">
        <f t="shared" si="1"/>
        <v>242.18009478672988</v>
      </c>
    </row>
    <row r="11" spans="1:51" x14ac:dyDescent="0.25">
      <c r="A11" s="19" t="s">
        <v>103</v>
      </c>
      <c r="B11" s="20" t="s">
        <v>26</v>
      </c>
      <c r="C11" s="21">
        <v>9</v>
      </c>
      <c r="D11" s="22">
        <v>22.5</v>
      </c>
      <c r="E11" s="21">
        <v>14</v>
      </c>
      <c r="F11" s="22">
        <v>40.6</v>
      </c>
      <c r="G11" s="21">
        <v>13</v>
      </c>
      <c r="H11" s="22">
        <f>G11*2.5</f>
        <v>32.5</v>
      </c>
      <c r="I11" s="21">
        <v>54</v>
      </c>
      <c r="J11" s="22">
        <v>123.8</v>
      </c>
      <c r="K11" s="72">
        <v>9</v>
      </c>
      <c r="L11" s="73">
        <v>23.2</v>
      </c>
      <c r="M11" s="21">
        <f>10+4</f>
        <v>14</v>
      </c>
      <c r="N11" s="22">
        <f>29+30</f>
        <v>59</v>
      </c>
      <c r="O11" s="21"/>
      <c r="P11" s="22">
        <v>16.8</v>
      </c>
      <c r="Q11" s="21">
        <f>14+5</f>
        <v>19</v>
      </c>
      <c r="R11" s="22">
        <f>40.6+37.5</f>
        <v>78.099999999999994</v>
      </c>
      <c r="S11" s="21">
        <v>4</v>
      </c>
      <c r="T11" s="22">
        <v>11.2</v>
      </c>
      <c r="U11" s="21">
        <f>30+10</f>
        <v>40</v>
      </c>
      <c r="V11" s="22">
        <f>87+75</f>
        <v>162</v>
      </c>
      <c r="W11" s="21"/>
      <c r="X11" s="22">
        <v>2.5</v>
      </c>
      <c r="Y11" s="21"/>
      <c r="Z11" s="22">
        <v>5</v>
      </c>
      <c r="AA11" s="21">
        <v>8</v>
      </c>
      <c r="AB11" s="22">
        <v>19.600000000000001</v>
      </c>
      <c r="AC11" s="21">
        <f>6+3</f>
        <v>9</v>
      </c>
      <c r="AD11" s="22">
        <f>17.4+22.5</f>
        <v>39.9</v>
      </c>
      <c r="AE11" s="21">
        <v>3</v>
      </c>
      <c r="AF11" s="22">
        <v>8.4</v>
      </c>
      <c r="AG11" s="21">
        <f>11+6</f>
        <v>17</v>
      </c>
      <c r="AH11" s="22">
        <f>31.9+45</f>
        <v>76.900000000000006</v>
      </c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698.80000000000007</v>
      </c>
      <c r="AY11" s="22">
        <f t="shared" si="1"/>
        <v>662.3696682464456</v>
      </c>
    </row>
    <row r="12" spans="1:51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72"/>
      <c r="L12" s="73"/>
      <c r="M12" s="21"/>
      <c r="N12" s="22"/>
      <c r="O12" s="25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>
        <v>1</v>
      </c>
      <c r="AD12" s="22">
        <v>5.5</v>
      </c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5.5</v>
      </c>
      <c r="AY12" s="22">
        <f t="shared" si="1"/>
        <v>5.2132701421800949</v>
      </c>
    </row>
    <row r="13" spans="1:51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72"/>
      <c r="L13" s="73"/>
      <c r="M13" s="21"/>
      <c r="N13" s="22"/>
      <c r="O13" s="25"/>
      <c r="P13" s="22"/>
      <c r="Q13" s="25"/>
      <c r="R13" s="22"/>
      <c r="S13" s="21"/>
      <c r="T13" s="22"/>
      <c r="U13" s="25"/>
      <c r="V13" s="22"/>
      <c r="W13" s="21"/>
      <c r="X13" s="22"/>
      <c r="Y13" s="21"/>
      <c r="Z13" s="22"/>
      <c r="AA13" s="25"/>
      <c r="AB13" s="22"/>
      <c r="AC13" s="21"/>
      <c r="AD13" s="22"/>
      <c r="AE13" s="21"/>
      <c r="AF13" s="22"/>
      <c r="AG13" s="25"/>
      <c r="AH13" s="22"/>
      <c r="AI13" s="21"/>
      <c r="AJ13" s="22"/>
      <c r="AK13" s="25"/>
      <c r="AL13" s="22"/>
      <c r="AM13" s="21"/>
      <c r="AN13" s="22"/>
      <c r="AO13" s="25"/>
      <c r="AP13" s="22"/>
      <c r="AQ13" s="21"/>
      <c r="AR13" s="22"/>
      <c r="AS13" s="21"/>
      <c r="AT13" s="22"/>
      <c r="AU13" s="25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72"/>
      <c r="L14" s="73"/>
      <c r="M14" s="21"/>
      <c r="N14" s="22"/>
      <c r="O14" s="21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33</v>
      </c>
      <c r="B15" s="20" t="s">
        <v>34</v>
      </c>
      <c r="C15" s="25"/>
      <c r="D15" s="22"/>
      <c r="E15" s="25"/>
      <c r="F15" s="22"/>
      <c r="G15" s="25"/>
      <c r="H15" s="22"/>
      <c r="I15" s="25"/>
      <c r="J15" s="22"/>
      <c r="K15" s="72"/>
      <c r="L15" s="73"/>
      <c r="M15" s="25"/>
      <c r="N15" s="22"/>
      <c r="O15" s="25"/>
      <c r="P15" s="22"/>
      <c r="Q15" s="25"/>
      <c r="R15" s="22"/>
      <c r="S15" s="25"/>
      <c r="T15" s="22"/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5"/>
      <c r="AN15" s="22"/>
      <c r="AO15" s="25"/>
      <c r="AP15" s="22"/>
      <c r="AQ15" s="25"/>
      <c r="AR15" s="22"/>
      <c r="AS15" s="25"/>
      <c r="AT15" s="22"/>
      <c r="AU15" s="25"/>
      <c r="AV15" s="22"/>
      <c r="AW15"/>
      <c r="AX15" s="74">
        <f t="shared" si="0"/>
        <v>0</v>
      </c>
      <c r="AY15" s="22">
        <f t="shared" si="1"/>
        <v>0</v>
      </c>
    </row>
    <row r="16" spans="1:51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72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1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72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37</v>
      </c>
      <c r="B18" s="20" t="s">
        <v>34</v>
      </c>
      <c r="C18" s="25">
        <v>2</v>
      </c>
      <c r="D18" s="22">
        <v>5</v>
      </c>
      <c r="E18" s="25"/>
      <c r="F18" s="22"/>
      <c r="G18" s="25"/>
      <c r="H18" s="22"/>
      <c r="I18" s="25"/>
      <c r="J18" s="22"/>
      <c r="K18" s="72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5</v>
      </c>
      <c r="AY18" s="22">
        <f t="shared" si="1"/>
        <v>4.7393364928909953</v>
      </c>
    </row>
    <row r="19" spans="1:51" x14ac:dyDescent="0.25">
      <c r="A19" s="19" t="s">
        <v>38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72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>
        <v>45.79</v>
      </c>
      <c r="AC19" s="25">
        <v>19.984999999999999</v>
      </c>
      <c r="AD19" s="22">
        <v>97.09</v>
      </c>
      <c r="AE19" s="25"/>
      <c r="AF19" s="22">
        <v>56.74</v>
      </c>
      <c r="AG19" s="25">
        <v>47.634999999999998</v>
      </c>
      <c r="AH19" s="22">
        <v>166.74</v>
      </c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366.36000000000007</v>
      </c>
      <c r="AY19" s="22">
        <f t="shared" si="1"/>
        <v>347.26066350710909</v>
      </c>
    </row>
    <row r="20" spans="1:51" x14ac:dyDescent="0.25">
      <c r="A20" s="19" t="s">
        <v>39</v>
      </c>
      <c r="B20" s="20" t="s">
        <v>34</v>
      </c>
      <c r="C20"/>
      <c r="D20" s="22">
        <v>42.26</v>
      </c>
      <c r="E20" s="1">
        <v>14.55</v>
      </c>
      <c r="F20" s="22">
        <v>86.58</v>
      </c>
      <c r="G20"/>
      <c r="H20" s="22"/>
      <c r="I20"/>
      <c r="J20" s="22"/>
      <c r="K20" s="72"/>
      <c r="L20" s="22"/>
      <c r="M20"/>
      <c r="N20" s="22"/>
      <c r="O20"/>
      <c r="P20" s="22">
        <v>63.97</v>
      </c>
      <c r="Q20" s="1">
        <v>24.04</v>
      </c>
      <c r="R20" s="22">
        <v>143.02000000000001</v>
      </c>
      <c r="S20"/>
      <c r="T20" s="22">
        <v>31.37</v>
      </c>
      <c r="U20" s="1">
        <v>11.64</v>
      </c>
      <c r="V20" s="22">
        <v>69.239999999999995</v>
      </c>
      <c r="W20"/>
      <c r="X20" s="22"/>
      <c r="Y20"/>
      <c r="Z20" s="22"/>
      <c r="AA20"/>
      <c r="AB20" s="22">
        <v>61.55</v>
      </c>
      <c r="AC20" s="1">
        <v>16.094999999999999</v>
      </c>
      <c r="AD20" s="22">
        <v>95.8</v>
      </c>
      <c r="AE20"/>
      <c r="AF20" s="22">
        <v>44.75</v>
      </c>
      <c r="AG20"/>
      <c r="AH20" s="22"/>
      <c r="AI20"/>
      <c r="AJ20" s="22"/>
      <c r="AK20"/>
      <c r="AL20" s="22"/>
      <c r="AM20"/>
      <c r="AN20" s="22"/>
      <c r="AO20"/>
      <c r="AP20" s="22"/>
      <c r="AQ20"/>
      <c r="AR20" s="22"/>
      <c r="AS20"/>
      <c r="AT20" s="22"/>
      <c r="AU20"/>
      <c r="AV20" s="22"/>
      <c r="AW20"/>
      <c r="AX20" s="74">
        <f t="shared" si="0"/>
        <v>638.54000000000008</v>
      </c>
      <c r="AY20" s="22">
        <f t="shared" si="1"/>
        <v>605.25118483412336</v>
      </c>
    </row>
    <row r="21" spans="1:51" x14ac:dyDescent="0.25">
      <c r="A21" s="19" t="s">
        <v>40</v>
      </c>
      <c r="B21" s="20" t="s">
        <v>34</v>
      </c>
      <c r="C21" s="25"/>
      <c r="D21" s="22">
        <v>33.72</v>
      </c>
      <c r="E21" s="25">
        <v>11.125</v>
      </c>
      <c r="F21" s="22">
        <v>55.09</v>
      </c>
      <c r="G21" s="25"/>
      <c r="H21" s="22">
        <f>1.13+2.74+2.06+3.05+4.85+5.86+2.33+4.85+1.94+3+2.6+2.38+1.44+1.68+1.78+0.86+2.93+2.38</f>
        <v>47.860000000000007</v>
      </c>
      <c r="I21" s="25">
        <v>14.455</v>
      </c>
      <c r="J21" s="22">
        <v>71.569999999999993</v>
      </c>
      <c r="K21" s="72"/>
      <c r="L21" s="73">
        <f>71.88</f>
        <v>71.88</v>
      </c>
      <c r="M21" s="25">
        <v>14.46</v>
      </c>
      <c r="N21" s="22">
        <v>71.599999999999994</v>
      </c>
      <c r="O21" s="25"/>
      <c r="P21" s="22">
        <v>65.05</v>
      </c>
      <c r="Q21" s="25">
        <v>17.649999999999999</v>
      </c>
      <c r="R21" s="22">
        <v>87.36</v>
      </c>
      <c r="S21" s="25"/>
      <c r="T21" s="22">
        <v>102.3</v>
      </c>
      <c r="U21" s="25">
        <v>40.914999999999999</v>
      </c>
      <c r="V21" s="22">
        <v>202.55</v>
      </c>
      <c r="W21" s="25"/>
      <c r="X21" s="22"/>
      <c r="Y21" s="25"/>
      <c r="Z21" s="22">
        <v>7.7</v>
      </c>
      <c r="AA21" s="25"/>
      <c r="AB21" s="22">
        <f>118.71+14</f>
        <v>132.70999999999998</v>
      </c>
      <c r="AC21" s="25">
        <v>15.95</v>
      </c>
      <c r="AD21" s="22">
        <v>78.98</v>
      </c>
      <c r="AE21" s="25"/>
      <c r="AF21" s="22">
        <f>76.4+28.33</f>
        <v>104.73</v>
      </c>
      <c r="AG21" s="25">
        <v>36.549999999999997</v>
      </c>
      <c r="AH21" s="22">
        <v>180.93</v>
      </c>
      <c r="AI21" s="25"/>
      <c r="AJ21" s="22"/>
      <c r="AK21" s="25"/>
      <c r="AL21" s="22"/>
      <c r="AM21" s="25"/>
      <c r="AN21" s="22"/>
      <c r="AO21" s="25"/>
      <c r="AP21" s="22"/>
      <c r="AQ21" s="25"/>
      <c r="AR21" s="22"/>
      <c r="AS21" s="25"/>
      <c r="AT21" s="22"/>
      <c r="AU21" s="25"/>
      <c r="AV21" s="22"/>
      <c r="AW21"/>
      <c r="AX21" s="74">
        <f t="shared" si="0"/>
        <v>1242.1499999999996</v>
      </c>
      <c r="AY21" s="22">
        <f t="shared" si="1"/>
        <v>1177.3933649289097</v>
      </c>
    </row>
    <row r="22" spans="1:51" x14ac:dyDescent="0.25">
      <c r="A22" s="19" t="s">
        <v>30</v>
      </c>
      <c r="B22" s="20" t="s">
        <v>26</v>
      </c>
      <c r="C22" s="21">
        <v>1</v>
      </c>
      <c r="D22" s="22">
        <v>2.5</v>
      </c>
      <c r="E22" s="21">
        <v>1</v>
      </c>
      <c r="F22" s="22">
        <v>3.5</v>
      </c>
      <c r="G22" s="21"/>
      <c r="H22" s="22"/>
      <c r="I22" s="21">
        <v>3</v>
      </c>
      <c r="J22" s="22">
        <v>10.5</v>
      </c>
      <c r="K22" s="72">
        <v>2</v>
      </c>
      <c r="L22" s="73">
        <v>5.8</v>
      </c>
      <c r="M22" s="21">
        <v>8</v>
      </c>
      <c r="N22" s="22">
        <v>28</v>
      </c>
      <c r="O22" s="21">
        <v>13</v>
      </c>
      <c r="P22" s="22">
        <v>11.6</v>
      </c>
      <c r="Q22" s="21">
        <v>15</v>
      </c>
      <c r="R22" s="22">
        <v>52.5</v>
      </c>
      <c r="S22" s="21">
        <v>1</v>
      </c>
      <c r="T22" s="22">
        <v>34.799999999999997</v>
      </c>
      <c r="U22" s="21">
        <v>12</v>
      </c>
      <c r="V22" s="22">
        <v>42</v>
      </c>
      <c r="W22" s="21"/>
      <c r="X22" s="22"/>
      <c r="Y22" s="21"/>
      <c r="Z22" s="22">
        <v>8.1</v>
      </c>
      <c r="AA22" s="21">
        <v>18</v>
      </c>
      <c r="AB22" s="22">
        <v>11.6</v>
      </c>
      <c r="AC22" s="21">
        <v>13</v>
      </c>
      <c r="AD22" s="22">
        <v>45.5</v>
      </c>
      <c r="AE22" s="21">
        <v>12</v>
      </c>
      <c r="AF22" s="22">
        <v>34.799999999999997</v>
      </c>
      <c r="AG22" s="21">
        <v>19</v>
      </c>
      <c r="AH22" s="22">
        <v>63.5</v>
      </c>
      <c r="AI22" s="21"/>
      <c r="AJ22" s="22"/>
      <c r="AK22" s="21"/>
      <c r="AL22" s="22"/>
      <c r="AM22" s="21"/>
      <c r="AN22" s="22"/>
      <c r="AO22" s="21"/>
      <c r="AP22" s="22"/>
      <c r="AQ22" s="21"/>
      <c r="AR22" s="22"/>
      <c r="AS22" s="21"/>
      <c r="AT22" s="22"/>
      <c r="AU22" s="21"/>
      <c r="AV22" s="22"/>
      <c r="AW22"/>
      <c r="AX22" s="74">
        <f t="shared" si="0"/>
        <v>348.90000000000003</v>
      </c>
      <c r="AY22" s="22">
        <f t="shared" si="1"/>
        <v>330.71090047393369</v>
      </c>
    </row>
    <row r="23" spans="1:51" x14ac:dyDescent="0.25">
      <c r="A23" s="19" t="s">
        <v>105</v>
      </c>
      <c r="B23" s="20" t="s">
        <v>26</v>
      </c>
      <c r="C23" s="21"/>
      <c r="D23" s="22"/>
      <c r="E23" s="21"/>
      <c r="F23" s="22"/>
      <c r="G23" s="21">
        <v>5</v>
      </c>
      <c r="H23" s="22">
        <v>10</v>
      </c>
      <c r="I23" s="21">
        <v>9</v>
      </c>
      <c r="J23" s="22">
        <v>26.1</v>
      </c>
      <c r="K23" s="72"/>
      <c r="L23" s="73">
        <v>2</v>
      </c>
      <c r="M23" s="21">
        <v>2</v>
      </c>
      <c r="N23" s="22">
        <v>5.8</v>
      </c>
      <c r="O23" s="21">
        <v>1</v>
      </c>
      <c r="P23" s="22">
        <v>2</v>
      </c>
      <c r="Q23" s="21">
        <v>7</v>
      </c>
      <c r="R23" s="22">
        <v>20.3</v>
      </c>
      <c r="S23" s="21"/>
      <c r="T23" s="22"/>
      <c r="U23" s="21">
        <v>5</v>
      </c>
      <c r="V23" s="22">
        <v>14.5</v>
      </c>
      <c r="W23" s="21"/>
      <c r="X23" s="22"/>
      <c r="Y23" s="21"/>
      <c r="Z23" s="22"/>
      <c r="AA23" s="21"/>
      <c r="AB23" s="22"/>
      <c r="AC23" s="21">
        <v>2</v>
      </c>
      <c r="AD23" s="22">
        <v>5.8</v>
      </c>
      <c r="AE23" s="21"/>
      <c r="AF23" s="22"/>
      <c r="AG23" s="21">
        <v>2</v>
      </c>
      <c r="AH23" s="22">
        <v>5.8</v>
      </c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90.300000000000011</v>
      </c>
      <c r="AY23" s="22">
        <f t="shared" si="1"/>
        <v>85.592417061611386</v>
      </c>
    </row>
    <row r="24" spans="1:51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72"/>
      <c r="L24" s="73"/>
      <c r="M24" s="25"/>
      <c r="N24" s="22"/>
      <c r="O24" s="25"/>
      <c r="P24" s="22">
        <v>6.91</v>
      </c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>
        <v>22.92</v>
      </c>
      <c r="AG24" s="25">
        <v>5.6050000000000004</v>
      </c>
      <c r="AH24" s="22">
        <v>25.24</v>
      </c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U24" s="25"/>
      <c r="AV24" s="22"/>
      <c r="AW24"/>
      <c r="AX24" s="74">
        <f t="shared" si="0"/>
        <v>55.069999999999993</v>
      </c>
      <c r="AY24" s="22">
        <f t="shared" si="1"/>
        <v>52.199052132701418</v>
      </c>
    </row>
    <row r="25" spans="1:51" x14ac:dyDescent="0.25">
      <c r="A25" s="19" t="s">
        <v>42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72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0</v>
      </c>
      <c r="AY25" s="22">
        <f t="shared" si="1"/>
        <v>0</v>
      </c>
    </row>
    <row r="26" spans="1:51" x14ac:dyDescent="0.25">
      <c r="A26" s="19" t="s">
        <v>43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72"/>
      <c r="L26" s="73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0</v>
      </c>
      <c r="AY26" s="22">
        <f t="shared" si="1"/>
        <v>0</v>
      </c>
    </row>
    <row r="27" spans="1:5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72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45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72"/>
      <c r="L28" s="73"/>
      <c r="M28" s="25"/>
      <c r="N28" s="22"/>
      <c r="O28" s="25"/>
      <c r="P28" s="22">
        <v>3.24</v>
      </c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>
        <v>4.0999999999999996</v>
      </c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7.34</v>
      </c>
      <c r="AY28" s="22">
        <f t="shared" si="1"/>
        <v>6.9573459715639814</v>
      </c>
    </row>
    <row r="29" spans="1:51" x14ac:dyDescent="0.25">
      <c r="A29" s="19" t="s">
        <v>132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72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>
        <v>1.92</v>
      </c>
      <c r="AH29" s="22">
        <v>3.84</v>
      </c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3.84</v>
      </c>
      <c r="AY29" s="22">
        <f t="shared" si="1"/>
        <v>3.6398104265402846</v>
      </c>
    </row>
    <row r="30" spans="1:51" s="18" customFormat="1" x14ac:dyDescent="0.25">
      <c r="A30" s="12" t="s">
        <v>46</v>
      </c>
      <c r="B30" s="13"/>
      <c r="C30" s="14"/>
      <c r="D30" s="15">
        <f>SUM(D31:D46)</f>
        <v>15.059999999999999</v>
      </c>
      <c r="E30" s="14"/>
      <c r="F30" s="15">
        <f>SUM(F31:F46)</f>
        <v>2.19</v>
      </c>
      <c r="G30" s="14"/>
      <c r="H30" s="15">
        <f>SUM(H31:H46)</f>
        <v>39.08</v>
      </c>
      <c r="I30" s="14"/>
      <c r="J30" s="15">
        <f>SUM(J31:J46)</f>
        <v>0</v>
      </c>
      <c r="K30" s="70"/>
      <c r="L30" s="70">
        <f>SUM(L31:L46)</f>
        <v>14.49</v>
      </c>
      <c r="M30" s="14"/>
      <c r="N30" s="15">
        <f>SUM(N31:N46)</f>
        <v>1.0900000000000001</v>
      </c>
      <c r="O30" s="14"/>
      <c r="P30" s="15">
        <f>SUM(P31:P46)</f>
        <v>55.09</v>
      </c>
      <c r="Q30" s="14"/>
      <c r="R30" s="15">
        <f>SUM(R31:R46)</f>
        <v>3.57</v>
      </c>
      <c r="S30" s="14"/>
      <c r="T30" s="15">
        <f>SUM(T31:T46)</f>
        <v>85.51</v>
      </c>
      <c r="U30" s="14"/>
      <c r="V30" s="15">
        <f>SUM(V31:V46)</f>
        <v>7</v>
      </c>
      <c r="W30" s="14"/>
      <c r="X30" s="15">
        <f>SUM(X31:X46)</f>
        <v>0</v>
      </c>
      <c r="Y30" s="14"/>
      <c r="Z30" s="15">
        <f>SUM(Z31:Z46)</f>
        <v>2.15</v>
      </c>
      <c r="AA30" s="14"/>
      <c r="AB30" s="15">
        <f>SUM(AB31:AB46)</f>
        <v>43.05</v>
      </c>
      <c r="AC30" s="14"/>
      <c r="AD30" s="15">
        <f>SUM(AD31:AD46)</f>
        <v>2.2400000000000002</v>
      </c>
      <c r="AE30" s="14"/>
      <c r="AF30" s="15">
        <f>SUM(AF31:AF46)</f>
        <v>85.549999999999983</v>
      </c>
      <c r="AG30" s="14"/>
      <c r="AH30" s="15">
        <f>SUM(AH31:AH46)</f>
        <v>0</v>
      </c>
      <c r="AI30" s="14"/>
      <c r="AJ30" s="15">
        <f>SUM(AJ31:AJ46)</f>
        <v>0</v>
      </c>
      <c r="AK30" s="14"/>
      <c r="AL30" s="15">
        <f>SUM(AL31:AL46)</f>
        <v>0</v>
      </c>
      <c r="AM30" s="14"/>
      <c r="AN30" s="15">
        <f>SUM(AN31:AN46)</f>
        <v>0</v>
      </c>
      <c r="AO30" s="14"/>
      <c r="AP30" s="15">
        <f>SUM(AP31:AP46)</f>
        <v>0</v>
      </c>
      <c r="AQ30" s="14"/>
      <c r="AR30" s="15">
        <f>SUM(AR31:AR46)</f>
        <v>0</v>
      </c>
      <c r="AS30" s="14"/>
      <c r="AT30" s="15">
        <f>SUM(AT31:AT46)</f>
        <v>0</v>
      </c>
      <c r="AU30" s="14"/>
      <c r="AV30" s="15">
        <f>SUM(AV31:AV46)</f>
        <v>0</v>
      </c>
      <c r="AX30" s="71">
        <f t="shared" ref="AX30:AX55" si="2">SUM(AV30,AT30,AR30,AP30,AN30,AL30,AJ30,AH30,AF30,AD30,AB30,Z30,X30,V30,T30,R30,P30,N30,J30)</f>
        <v>285.24999999999994</v>
      </c>
      <c r="AY30" s="15">
        <f t="shared" si="1"/>
        <v>270.37914691943126</v>
      </c>
    </row>
    <row r="31" spans="1:51" x14ac:dyDescent="0.25">
      <c r="A31" s="19" t="s">
        <v>47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25"/>
      <c r="L31" s="73"/>
      <c r="M31" s="25"/>
      <c r="N31" s="22"/>
      <c r="O31" s="25"/>
      <c r="P31" s="22">
        <v>0.6</v>
      </c>
      <c r="Q31" s="25"/>
      <c r="R31" s="22"/>
      <c r="S31" s="21">
        <v>5</v>
      </c>
      <c r="T31" s="22">
        <v>3</v>
      </c>
      <c r="U31" s="25"/>
      <c r="V31" s="22"/>
      <c r="W31" s="25"/>
      <c r="X31" s="22"/>
      <c r="Y31" s="25"/>
      <c r="Z31" s="22"/>
      <c r="AA31" s="21">
        <v>5</v>
      </c>
      <c r="AB31" s="22">
        <v>3</v>
      </c>
      <c r="AC31" s="25"/>
      <c r="AD31" s="22"/>
      <c r="AE31" s="25">
        <v>2</v>
      </c>
      <c r="AF31" s="22">
        <v>1.2</v>
      </c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2"/>
        <v>7.8</v>
      </c>
      <c r="AY31" s="22">
        <f t="shared" si="1"/>
        <v>7.3933649289099526</v>
      </c>
    </row>
    <row r="32" spans="1:51" x14ac:dyDescent="0.25">
      <c r="A32" s="19" t="s">
        <v>48</v>
      </c>
      <c r="B32" s="20" t="s">
        <v>34</v>
      </c>
      <c r="C32" s="25"/>
      <c r="D32" s="22">
        <v>4.93</v>
      </c>
      <c r="E32" s="25"/>
      <c r="F32" s="22"/>
      <c r="G32" s="25"/>
      <c r="H32" s="22">
        <f>1.34+0.55+2.3</f>
        <v>4.1899999999999995</v>
      </c>
      <c r="I32" s="25"/>
      <c r="J32" s="22"/>
      <c r="K32" s="25"/>
      <c r="L32" s="73">
        <v>1.94</v>
      </c>
      <c r="M32" s="25"/>
      <c r="N32" s="22"/>
      <c r="O32" s="25"/>
      <c r="P32" s="22">
        <v>8.4</v>
      </c>
      <c r="Q32" s="25"/>
      <c r="R32" s="22"/>
      <c r="S32" s="21"/>
      <c r="T32" s="22">
        <v>10.5</v>
      </c>
      <c r="U32" s="25"/>
      <c r="V32" s="22"/>
      <c r="W32" s="25"/>
      <c r="X32" s="22"/>
      <c r="Y32" s="25"/>
      <c r="Z32" s="22"/>
      <c r="AA32" s="21"/>
      <c r="AB32" s="22">
        <v>6.34</v>
      </c>
      <c r="AC32" s="25"/>
      <c r="AD32" s="22"/>
      <c r="AE32" s="25"/>
      <c r="AF32" s="22">
        <v>7.56</v>
      </c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2"/>
        <v>32.799999999999997</v>
      </c>
      <c r="AY32" s="22">
        <f t="shared" si="1"/>
        <v>31.090047393364927</v>
      </c>
    </row>
    <row r="33" spans="1:51" x14ac:dyDescent="0.25">
      <c r="A33" s="19" t="s">
        <v>49</v>
      </c>
      <c r="B33" s="20" t="s">
        <v>34</v>
      </c>
      <c r="C33" s="25"/>
      <c r="D33" s="22"/>
      <c r="E33" s="25"/>
      <c r="F33" s="22"/>
      <c r="G33" s="25"/>
      <c r="H33" s="22"/>
      <c r="I33" s="25"/>
      <c r="J33" s="22"/>
      <c r="K33" s="25"/>
      <c r="L33" s="73"/>
      <c r="M33" s="25"/>
      <c r="N33" s="22"/>
      <c r="O33" s="25"/>
      <c r="P33" s="22"/>
      <c r="Q33" s="25"/>
      <c r="R33" s="22"/>
      <c r="S33" s="21"/>
      <c r="T33" s="22">
        <v>6</v>
      </c>
      <c r="U33" s="25"/>
      <c r="V33" s="22"/>
      <c r="W33" s="25"/>
      <c r="X33" s="22"/>
      <c r="Y33" s="25"/>
      <c r="Z33" s="22"/>
      <c r="AA33" s="21"/>
      <c r="AB33" s="22">
        <v>7.77</v>
      </c>
      <c r="AC33" s="25"/>
      <c r="AD33" s="22"/>
      <c r="AE33" s="25">
        <v>2.92</v>
      </c>
      <c r="AF33" s="22">
        <v>6</v>
      </c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U33" s="25"/>
      <c r="AV33" s="22"/>
      <c r="AW33"/>
      <c r="AX33" s="74">
        <f t="shared" si="2"/>
        <v>19.77</v>
      </c>
      <c r="AY33" s="22">
        <f t="shared" si="1"/>
        <v>18.739336492890995</v>
      </c>
    </row>
    <row r="34" spans="1:51" x14ac:dyDescent="0.25">
      <c r="A34" s="19" t="s">
        <v>50</v>
      </c>
      <c r="B34" s="20" t="s">
        <v>34</v>
      </c>
      <c r="C34" s="25"/>
      <c r="D34" s="22"/>
      <c r="E34" s="25"/>
      <c r="F34" s="22"/>
      <c r="G34" s="25"/>
      <c r="H34" s="22"/>
      <c r="I34" s="25"/>
      <c r="J34" s="22"/>
      <c r="K34" s="25"/>
      <c r="L34" s="73"/>
      <c r="M34" s="25"/>
      <c r="N34" s="22"/>
      <c r="O34" s="25"/>
      <c r="P34" s="22">
        <v>36.06</v>
      </c>
      <c r="Q34" s="25"/>
      <c r="R34" s="22"/>
      <c r="S34" s="21"/>
      <c r="T34" s="22">
        <v>22</v>
      </c>
      <c r="U34" s="25"/>
      <c r="V34" s="22"/>
      <c r="W34" s="25"/>
      <c r="X34" s="22"/>
      <c r="Y34" s="25"/>
      <c r="Z34" s="22"/>
      <c r="AA34" s="21"/>
      <c r="AB34" s="22">
        <v>11.05</v>
      </c>
      <c r="AC34" s="25"/>
      <c r="AD34" s="22"/>
      <c r="AE34" s="25"/>
      <c r="AF34" s="22">
        <f>30.97+17.9</f>
        <v>48.87</v>
      </c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si="2"/>
        <v>117.98</v>
      </c>
      <c r="AY34" s="22">
        <f t="shared" si="1"/>
        <v>111.82938388625594</v>
      </c>
    </row>
    <row r="35" spans="1:51" x14ac:dyDescent="0.25">
      <c r="A35" s="19" t="s">
        <v>51</v>
      </c>
      <c r="B35" s="20" t="s">
        <v>34</v>
      </c>
      <c r="C35" s="25"/>
      <c r="D35" s="22"/>
      <c r="E35" s="25"/>
      <c r="F35" s="22"/>
      <c r="G35" s="25"/>
      <c r="H35" s="22"/>
      <c r="I35" s="25"/>
      <c r="J35" s="22"/>
      <c r="K35" s="25"/>
      <c r="L35" s="73"/>
      <c r="M35" s="25"/>
      <c r="N35" s="22"/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si="2"/>
        <v>0</v>
      </c>
      <c r="AY35" s="22">
        <f t="shared" ref="AY35:AY55" si="3">AX35/1.055</f>
        <v>0</v>
      </c>
    </row>
    <row r="36" spans="1:51" x14ac:dyDescent="0.25">
      <c r="A36" s="19" t="s">
        <v>133</v>
      </c>
      <c r="B36" s="20" t="s">
        <v>53</v>
      </c>
      <c r="C36" s="25"/>
      <c r="D36" s="22"/>
      <c r="E36" s="25"/>
      <c r="F36" s="22"/>
      <c r="G36" s="25"/>
      <c r="H36" s="22">
        <v>0.4</v>
      </c>
      <c r="I36" s="25"/>
      <c r="J36" s="22"/>
      <c r="K36" s="25"/>
      <c r="L36" s="73"/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0</v>
      </c>
      <c r="AY36" s="22">
        <f t="shared" si="3"/>
        <v>0</v>
      </c>
    </row>
    <row r="37" spans="1:51" x14ac:dyDescent="0.25">
      <c r="A37" s="19" t="s">
        <v>54</v>
      </c>
      <c r="B37" s="20" t="s">
        <v>55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1" x14ac:dyDescent="0.25">
      <c r="A38" s="19" t="s">
        <v>56</v>
      </c>
      <c r="B38" s="20" t="s">
        <v>34</v>
      </c>
      <c r="C38" s="25"/>
      <c r="D38" s="22">
        <v>2.63</v>
      </c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>
        <v>3</v>
      </c>
      <c r="Q38" s="25"/>
      <c r="R38" s="22"/>
      <c r="S38" s="21"/>
      <c r="T38" s="22">
        <v>31.01</v>
      </c>
      <c r="U38" s="25"/>
      <c r="V38" s="22"/>
      <c r="W38" s="25"/>
      <c r="X38" s="22"/>
      <c r="Y38" s="25"/>
      <c r="Z38" s="22"/>
      <c r="AA38" s="21"/>
      <c r="AB38" s="22">
        <v>14.89</v>
      </c>
      <c r="AC38" s="25"/>
      <c r="AD38" s="22"/>
      <c r="AE38" s="25"/>
      <c r="AF38" s="22">
        <v>19.350000000000001</v>
      </c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68.25</v>
      </c>
      <c r="AY38" s="22">
        <f t="shared" si="3"/>
        <v>64.691943127962091</v>
      </c>
    </row>
    <row r="39" spans="1:51" x14ac:dyDescent="0.25">
      <c r="A39" s="19" t="s">
        <v>57</v>
      </c>
      <c r="B39" s="20" t="s">
        <v>53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0</v>
      </c>
      <c r="AY39" s="22">
        <f t="shared" si="3"/>
        <v>0</v>
      </c>
    </row>
    <row r="40" spans="1:51" x14ac:dyDescent="0.25">
      <c r="A40" s="19" t="s">
        <v>58</v>
      </c>
      <c r="B40" s="20" t="s">
        <v>34</v>
      </c>
      <c r="C40" s="25"/>
      <c r="D40" s="22">
        <v>7.5</v>
      </c>
      <c r="E40" s="25">
        <v>0.66500000000000004</v>
      </c>
      <c r="F40" s="22">
        <v>2.19</v>
      </c>
      <c r="G40" s="25"/>
      <c r="H40" s="22">
        <f>1.8+10.25+4.43+2.97+2.59+1.89+0.52+2.57</f>
        <v>27.02</v>
      </c>
      <c r="I40" s="25"/>
      <c r="J40" s="22"/>
      <c r="K40" s="25"/>
      <c r="L40" s="73">
        <v>12.55</v>
      </c>
      <c r="M40" s="25">
        <v>0.33</v>
      </c>
      <c r="N40" s="22">
        <v>1.0900000000000001</v>
      </c>
      <c r="O40" s="25"/>
      <c r="P40" s="22">
        <v>7.03</v>
      </c>
      <c r="Q40" s="25">
        <v>1.08</v>
      </c>
      <c r="R40" s="22">
        <v>3.57</v>
      </c>
      <c r="S40" s="21"/>
      <c r="T40" s="22">
        <v>13</v>
      </c>
      <c r="U40" s="25">
        <v>2.12</v>
      </c>
      <c r="V40" s="22">
        <v>7</v>
      </c>
      <c r="W40" s="25"/>
      <c r="X40" s="22"/>
      <c r="Y40" s="25"/>
      <c r="Z40" s="22">
        <v>2.15</v>
      </c>
      <c r="AA40" s="21"/>
      <c r="AB40" s="22"/>
      <c r="AC40" s="25">
        <v>0.68</v>
      </c>
      <c r="AD40" s="22">
        <v>2.2400000000000002</v>
      </c>
      <c r="AE40" s="25"/>
      <c r="AF40" s="22">
        <v>2.57</v>
      </c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38.650000000000006</v>
      </c>
      <c r="AY40" s="22">
        <f t="shared" si="3"/>
        <v>36.635071090047404</v>
      </c>
    </row>
    <row r="41" spans="1:51" x14ac:dyDescent="0.25">
      <c r="A41" s="19" t="s">
        <v>110</v>
      </c>
      <c r="B41" s="20" t="s">
        <v>34</v>
      </c>
      <c r="C41" s="25"/>
      <c r="D41" s="22"/>
      <c r="E41" s="25"/>
      <c r="F41" s="22"/>
      <c r="G41" s="25"/>
      <c r="H41" s="22">
        <v>3.57</v>
      </c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1" x14ac:dyDescent="0.25">
      <c r="A42" s="19" t="s">
        <v>111</v>
      </c>
      <c r="B42" s="20" t="s">
        <v>34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1" x14ac:dyDescent="0.25">
      <c r="A43" s="19" t="s">
        <v>112</v>
      </c>
      <c r="B43" s="20" t="s">
        <v>34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1" x14ac:dyDescent="0.25">
      <c r="A44" s="19" t="s">
        <v>113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1" x14ac:dyDescent="0.25">
      <c r="A45" s="19" t="s">
        <v>134</v>
      </c>
      <c r="B45" s="20" t="s">
        <v>34</v>
      </c>
      <c r="C45" s="25"/>
      <c r="D45" s="22"/>
      <c r="E45" s="25"/>
      <c r="F45" s="22"/>
      <c r="G45" s="25"/>
      <c r="H45" s="22">
        <f>1.8+2.1</f>
        <v>3.9000000000000004</v>
      </c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1" x14ac:dyDescent="0.25">
      <c r="A46" s="19" t="s">
        <v>59</v>
      </c>
      <c r="B46" s="20"/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0</v>
      </c>
      <c r="AY46" s="22">
        <f t="shared" si="3"/>
        <v>0</v>
      </c>
    </row>
    <row r="47" spans="1:51" s="18" customFormat="1" x14ac:dyDescent="0.25">
      <c r="A47" s="12" t="s">
        <v>60</v>
      </c>
      <c r="B47" s="13"/>
      <c r="C47" s="14"/>
      <c r="D47" s="15">
        <f>SUM(D48:D55)</f>
        <v>50.44</v>
      </c>
      <c r="E47" s="14"/>
      <c r="F47" s="15">
        <f>SUM(F48:F55)</f>
        <v>36.44</v>
      </c>
      <c r="G47" s="14"/>
      <c r="H47" s="15">
        <f>SUM(H48:H55)</f>
        <v>29.22</v>
      </c>
      <c r="I47" s="14"/>
      <c r="J47" s="15">
        <f>SUM(J48:J55)</f>
        <v>50.739999999999995</v>
      </c>
      <c r="K47" s="70"/>
      <c r="L47" s="70">
        <f>SUM(L48:L55)</f>
        <v>24.86</v>
      </c>
      <c r="M47" s="14"/>
      <c r="N47" s="15">
        <f>SUM(N48:N55)</f>
        <v>71.240000000000009</v>
      </c>
      <c r="O47" s="14"/>
      <c r="P47" s="15">
        <f>SUM(P48:P55)</f>
        <v>11.14</v>
      </c>
      <c r="Q47" s="14"/>
      <c r="R47" s="15">
        <f>SUM(R48:R55)</f>
        <v>37.269999999999996</v>
      </c>
      <c r="S47" s="14"/>
      <c r="T47" s="15">
        <f>SUM(T48:T55)</f>
        <v>23.83</v>
      </c>
      <c r="U47" s="14"/>
      <c r="V47" s="15">
        <f>SUM(V48:V55)</f>
        <v>146.54</v>
      </c>
      <c r="W47" s="14"/>
      <c r="X47" s="15">
        <f>SUM(X48:X55)</f>
        <v>6.8</v>
      </c>
      <c r="Y47" s="14"/>
      <c r="Z47" s="15">
        <f>SUM(Z48:Z55)</f>
        <v>19.7</v>
      </c>
      <c r="AA47" s="14"/>
      <c r="AB47" s="15">
        <f>SUM(AB48:AB55)</f>
        <v>24.14</v>
      </c>
      <c r="AC47" s="14"/>
      <c r="AD47" s="15">
        <f>SUM(AD48:AD55)</f>
        <v>57.27</v>
      </c>
      <c r="AE47" s="14"/>
      <c r="AF47" s="15">
        <f>SUM(AF48:AF55)</f>
        <v>30.020000000000003</v>
      </c>
      <c r="AG47" s="14"/>
      <c r="AH47" s="15">
        <f>SUM(AH48:AH55)</f>
        <v>100.37</v>
      </c>
      <c r="AI47" s="14"/>
      <c r="AJ47" s="15">
        <f>SUM(AJ48:AJ55)</f>
        <v>0</v>
      </c>
      <c r="AK47" s="14"/>
      <c r="AL47" s="15">
        <f>SUM(AL48:AL55)</f>
        <v>0</v>
      </c>
      <c r="AM47" s="14"/>
      <c r="AN47" s="15">
        <f>SUM(AN48:AN55)</f>
        <v>0</v>
      </c>
      <c r="AO47" s="14"/>
      <c r="AP47" s="15">
        <f>SUM(AP48:AP55)</f>
        <v>0</v>
      </c>
      <c r="AQ47" s="14"/>
      <c r="AR47" s="15">
        <f>SUM(AR48:AR55)</f>
        <v>0</v>
      </c>
      <c r="AS47" s="14"/>
      <c r="AT47" s="15">
        <f>SUM(AT48:AT55)</f>
        <v>0</v>
      </c>
      <c r="AU47" s="14"/>
      <c r="AV47" s="15">
        <f>SUM(AV48:AV55)</f>
        <v>0</v>
      </c>
      <c r="AX47" s="71">
        <f t="shared" si="2"/>
        <v>579.05999999999995</v>
      </c>
      <c r="AY47" s="15">
        <f t="shared" si="3"/>
        <v>548.87203791469187</v>
      </c>
    </row>
    <row r="48" spans="1:51" x14ac:dyDescent="0.25">
      <c r="A48" s="19" t="s">
        <v>61</v>
      </c>
      <c r="B48" s="20" t="s">
        <v>34</v>
      </c>
      <c r="C48" s="25"/>
      <c r="D48" s="22">
        <v>10.95</v>
      </c>
      <c r="E48" s="25">
        <v>0.31</v>
      </c>
      <c r="F48" s="22">
        <v>7.13</v>
      </c>
      <c r="G48" s="25"/>
      <c r="H48" s="22"/>
      <c r="I48" s="25">
        <v>0.71</v>
      </c>
      <c r="J48" s="22">
        <v>16.34</v>
      </c>
      <c r="K48" s="1"/>
      <c r="L48" s="73">
        <v>8.6999999999999993</v>
      </c>
      <c r="M48" s="25">
        <v>1.0049999999999999</v>
      </c>
      <c r="N48" s="22">
        <v>23.12</v>
      </c>
      <c r="O48" s="25"/>
      <c r="P48" s="22"/>
      <c r="Q48" s="25">
        <v>0.27</v>
      </c>
      <c r="R48" s="22">
        <v>6.21</v>
      </c>
      <c r="S48" s="25"/>
      <c r="T48" s="22">
        <v>2.1</v>
      </c>
      <c r="U48" s="25">
        <v>1.385</v>
      </c>
      <c r="V48" s="22">
        <v>31.87</v>
      </c>
      <c r="W48" s="25"/>
      <c r="X48" s="22"/>
      <c r="Y48" s="25"/>
      <c r="Z48" s="22">
        <v>5</v>
      </c>
      <c r="AA48" s="25"/>
      <c r="AB48" s="22">
        <v>4.58</v>
      </c>
      <c r="AC48" s="25">
        <v>0.66</v>
      </c>
      <c r="AD48" s="22">
        <v>15.18</v>
      </c>
      <c r="AE48" s="25"/>
      <c r="AF48" s="22">
        <v>7</v>
      </c>
      <c r="AG48" s="25">
        <v>1.145</v>
      </c>
      <c r="AH48" s="22">
        <v>26.35</v>
      </c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137.75</v>
      </c>
      <c r="AY48" s="22">
        <f t="shared" si="3"/>
        <v>130.56872037914692</v>
      </c>
    </row>
    <row r="49" spans="1:53" x14ac:dyDescent="0.25">
      <c r="A49" s="19" t="s">
        <v>62</v>
      </c>
      <c r="B49" s="20" t="s">
        <v>34</v>
      </c>
      <c r="C49"/>
      <c r="D49" s="22"/>
      <c r="E49"/>
      <c r="F49" s="22"/>
      <c r="G49"/>
      <c r="H49" s="22"/>
      <c r="I49"/>
      <c r="J49" s="22"/>
      <c r="K49" s="1"/>
      <c r="L49" s="22"/>
      <c r="M49"/>
      <c r="N49" s="22"/>
      <c r="O49"/>
      <c r="P49" s="22"/>
      <c r="Q49" s="1">
        <v>0.13500000000000001</v>
      </c>
      <c r="R49" s="22">
        <v>3.11</v>
      </c>
      <c r="S49"/>
      <c r="T49" s="22"/>
      <c r="U49" s="1">
        <v>1.45</v>
      </c>
      <c r="V49" s="22">
        <v>33.36</v>
      </c>
      <c r="W49"/>
      <c r="X49" s="22"/>
      <c r="Y49"/>
      <c r="Z49" s="22"/>
      <c r="AA49"/>
      <c r="AB49" s="22"/>
      <c r="AC49" s="1">
        <v>0.27</v>
      </c>
      <c r="AD49" s="22">
        <v>6.21</v>
      </c>
      <c r="AE49"/>
      <c r="AF49" s="22">
        <v>1.62</v>
      </c>
      <c r="AG49"/>
      <c r="AH49" s="22"/>
      <c r="AI49"/>
      <c r="AJ49" s="22"/>
      <c r="AK49"/>
      <c r="AL49" s="22"/>
      <c r="AM49"/>
      <c r="AN49" s="22"/>
      <c r="AO49"/>
      <c r="AP49" s="22"/>
      <c r="AQ49"/>
      <c r="AR49" s="22"/>
      <c r="AS49"/>
      <c r="AT49" s="22"/>
      <c r="AU49"/>
      <c r="AV49" s="22"/>
      <c r="AW49"/>
      <c r="AX49" s="74">
        <f t="shared" si="2"/>
        <v>44.3</v>
      </c>
      <c r="AY49" s="22">
        <f t="shared" si="3"/>
        <v>41.990521327014221</v>
      </c>
    </row>
    <row r="50" spans="1:53" x14ac:dyDescent="0.25">
      <c r="A50" s="19" t="s">
        <v>63</v>
      </c>
      <c r="B50" s="20" t="s">
        <v>34</v>
      </c>
      <c r="C50"/>
      <c r="D50" s="22">
        <v>4.28</v>
      </c>
      <c r="E50" s="1">
        <v>0.26500000000000001</v>
      </c>
      <c r="F50" s="22">
        <v>6.1</v>
      </c>
      <c r="G50"/>
      <c r="H50" s="22">
        <v>2.85</v>
      </c>
      <c r="I50" s="1">
        <v>0.38</v>
      </c>
      <c r="J50" s="22">
        <v>8.74</v>
      </c>
      <c r="K50" s="1"/>
      <c r="L50" s="22"/>
      <c r="M50" s="1">
        <v>0.28000000000000003</v>
      </c>
      <c r="N50" s="22">
        <v>6.44</v>
      </c>
      <c r="O50"/>
      <c r="P50" s="22">
        <v>2.4500000000000002</v>
      </c>
      <c r="Q50" s="1">
        <v>0.32</v>
      </c>
      <c r="R50" s="22">
        <v>7.36</v>
      </c>
      <c r="S50"/>
      <c r="T50" s="22"/>
      <c r="U50" s="1">
        <v>1.0249999999999999</v>
      </c>
      <c r="V50" s="22">
        <v>23.59</v>
      </c>
      <c r="W50"/>
      <c r="X50" s="22">
        <v>6.8</v>
      </c>
      <c r="Y50"/>
      <c r="Z50" s="22">
        <v>7.2</v>
      </c>
      <c r="AA50"/>
      <c r="AB50" s="22"/>
      <c r="AC50" s="1">
        <v>0.32500000000000001</v>
      </c>
      <c r="AD50" s="22">
        <v>7.48</v>
      </c>
      <c r="AE50"/>
      <c r="AF50" s="22">
        <f>2+3.8</f>
        <v>5.8</v>
      </c>
      <c r="AG50" s="1">
        <v>1.365</v>
      </c>
      <c r="AH50" s="22">
        <v>31.41</v>
      </c>
      <c r="AI50"/>
      <c r="AJ50" s="22"/>
      <c r="AK50"/>
      <c r="AL50" s="22"/>
      <c r="AM50"/>
      <c r="AN50" s="22"/>
      <c r="AO50"/>
      <c r="AP50" s="22"/>
      <c r="AQ50"/>
      <c r="AR50" s="22"/>
      <c r="AS50"/>
      <c r="AT50" s="22"/>
      <c r="AU50"/>
      <c r="AV50" s="22"/>
      <c r="AW50"/>
      <c r="AX50" s="74">
        <f t="shared" si="2"/>
        <v>107.27</v>
      </c>
      <c r="AY50" s="22">
        <f t="shared" si="3"/>
        <v>101.67772511848341</v>
      </c>
    </row>
    <row r="51" spans="1:53" x14ac:dyDescent="0.25">
      <c r="A51" s="19" t="s">
        <v>64</v>
      </c>
      <c r="B51" s="20" t="s">
        <v>34</v>
      </c>
      <c r="C51" s="25"/>
      <c r="D51" s="22">
        <v>19.559999999999999</v>
      </c>
      <c r="E51" s="25">
        <v>0.23499999999999999</v>
      </c>
      <c r="F51" s="22">
        <v>9.17</v>
      </c>
      <c r="G51" s="25"/>
      <c r="H51" s="22">
        <f>2.7+3+7.38</f>
        <v>13.08</v>
      </c>
      <c r="I51" s="25">
        <v>0.28000000000000003</v>
      </c>
      <c r="J51" s="22">
        <v>10.93</v>
      </c>
      <c r="K51" s="1"/>
      <c r="L51" s="73"/>
      <c r="M51" s="25">
        <v>0.72499999999999998</v>
      </c>
      <c r="N51" s="22">
        <v>28.28</v>
      </c>
      <c r="O51" s="25"/>
      <c r="P51" s="22">
        <v>3.24</v>
      </c>
      <c r="Q51" s="25">
        <v>0.39</v>
      </c>
      <c r="R51" s="22">
        <v>15.22</v>
      </c>
      <c r="S51" s="25"/>
      <c r="T51" s="22">
        <v>10</v>
      </c>
      <c r="U51" s="25">
        <v>0.87</v>
      </c>
      <c r="V51" s="22">
        <v>33.96</v>
      </c>
      <c r="W51" s="25"/>
      <c r="X51" s="22"/>
      <c r="Y51" s="25"/>
      <c r="Z51" s="22"/>
      <c r="AA51" s="25"/>
      <c r="AB51" s="22">
        <v>14.76</v>
      </c>
      <c r="AC51" s="25">
        <v>0.435</v>
      </c>
      <c r="AD51" s="22">
        <v>16.97</v>
      </c>
      <c r="AE51" s="25"/>
      <c r="AF51" s="22">
        <v>10.8</v>
      </c>
      <c r="AG51" s="25">
        <v>0.69</v>
      </c>
      <c r="AH51" s="22">
        <v>26.92</v>
      </c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171.08</v>
      </c>
      <c r="AY51" s="22">
        <f t="shared" si="3"/>
        <v>162.16113744075832</v>
      </c>
    </row>
    <row r="52" spans="1:53" x14ac:dyDescent="0.25">
      <c r="A52" s="19" t="s">
        <v>65</v>
      </c>
      <c r="B52" s="20" t="s">
        <v>34</v>
      </c>
      <c r="C52" s="25"/>
      <c r="D52" s="22"/>
      <c r="E52" s="25">
        <v>0.53</v>
      </c>
      <c r="F52" s="22">
        <v>12.19</v>
      </c>
      <c r="G52" s="25"/>
      <c r="H52" s="22"/>
      <c r="I52" s="25"/>
      <c r="J52" s="22"/>
      <c r="K52" s="1"/>
      <c r="L52" s="73"/>
      <c r="M52" s="25"/>
      <c r="N52" s="22"/>
      <c r="O52" s="25"/>
      <c r="P52" s="22"/>
      <c r="Q52" s="25"/>
      <c r="R52" s="22"/>
      <c r="S52" s="25"/>
      <c r="T52" s="22"/>
      <c r="U52" s="25"/>
      <c r="V52" s="22"/>
      <c r="W52" s="25"/>
      <c r="X52" s="22"/>
      <c r="Y52" s="25"/>
      <c r="Z52" s="22"/>
      <c r="AA52" s="25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2"/>
        <v>0</v>
      </c>
      <c r="AY52" s="22">
        <f t="shared" si="3"/>
        <v>0</v>
      </c>
    </row>
    <row r="53" spans="1:53" x14ac:dyDescent="0.25">
      <c r="A53" s="19" t="s">
        <v>66</v>
      </c>
      <c r="B53" s="20" t="s">
        <v>34</v>
      </c>
      <c r="C53" s="25"/>
      <c r="D53" s="22">
        <v>11.64</v>
      </c>
      <c r="E53" s="25">
        <v>0.19500000000000001</v>
      </c>
      <c r="F53" s="22">
        <v>1.85</v>
      </c>
      <c r="G53" s="25"/>
      <c r="H53" s="22">
        <f>5.7+3.1+2.18+2.31</f>
        <v>13.290000000000001</v>
      </c>
      <c r="I53" s="25">
        <v>1.55</v>
      </c>
      <c r="J53" s="22">
        <v>14.73</v>
      </c>
      <c r="K53" s="1"/>
      <c r="L53" s="73">
        <v>16.16</v>
      </c>
      <c r="M53" s="25">
        <v>1.41</v>
      </c>
      <c r="N53" s="22">
        <v>13.4</v>
      </c>
      <c r="O53" s="25"/>
      <c r="P53" s="22">
        <v>5.45</v>
      </c>
      <c r="Q53" s="25">
        <v>0.56499999999999995</v>
      </c>
      <c r="R53" s="22">
        <v>5.37</v>
      </c>
      <c r="S53" s="25"/>
      <c r="T53" s="22">
        <v>7.3</v>
      </c>
      <c r="U53" s="25">
        <v>2.5</v>
      </c>
      <c r="V53" s="22">
        <v>23.76</v>
      </c>
      <c r="W53" s="25"/>
      <c r="X53" s="22"/>
      <c r="Y53" s="25"/>
      <c r="Z53" s="22">
        <v>7.5</v>
      </c>
      <c r="AA53" s="25"/>
      <c r="AB53" s="22">
        <v>4.8</v>
      </c>
      <c r="AC53" s="25">
        <v>0.9</v>
      </c>
      <c r="AD53" s="22">
        <v>8.5500000000000007</v>
      </c>
      <c r="AE53" s="25"/>
      <c r="AF53" s="22">
        <v>4.8</v>
      </c>
      <c r="AG53" s="25">
        <v>1.65</v>
      </c>
      <c r="AH53" s="22">
        <v>15.69</v>
      </c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111.35000000000001</v>
      </c>
      <c r="AY53" s="22">
        <f t="shared" si="3"/>
        <v>105.54502369668248</v>
      </c>
    </row>
    <row r="54" spans="1:53" x14ac:dyDescent="0.25">
      <c r="A54" s="19" t="s">
        <v>38</v>
      </c>
      <c r="B54" s="20" t="s">
        <v>34</v>
      </c>
      <c r="C54" s="25"/>
      <c r="D54" s="22">
        <v>4.01</v>
      </c>
      <c r="E54" s="25"/>
      <c r="F54" s="22"/>
      <c r="G54" s="25"/>
      <c r="H54" s="22"/>
      <c r="I54" s="25"/>
      <c r="J54" s="22"/>
      <c r="K54" s="1"/>
      <c r="L54" s="73"/>
      <c r="M54" s="25"/>
      <c r="N54" s="22"/>
      <c r="O54" s="25"/>
      <c r="P54" s="22"/>
      <c r="Q54" s="25"/>
      <c r="R54" s="22"/>
      <c r="S54" s="25"/>
      <c r="T54" s="22">
        <v>4.43</v>
      </c>
      <c r="U54" s="25"/>
      <c r="V54" s="22"/>
      <c r="W54" s="25"/>
      <c r="X54" s="22"/>
      <c r="Y54" s="25"/>
      <c r="Z54" s="22"/>
      <c r="AA54" s="25"/>
      <c r="AB54" s="22"/>
      <c r="AC54" s="25"/>
      <c r="AD54" s="22"/>
      <c r="AE54" s="25"/>
      <c r="AF54" s="22"/>
      <c r="AG54" s="25"/>
      <c r="AH54" s="22"/>
      <c r="AI54" s="25"/>
      <c r="AJ54" s="22"/>
      <c r="AK54" s="25"/>
      <c r="AL54" s="22"/>
      <c r="AM54" s="25"/>
      <c r="AN54" s="22"/>
      <c r="AO54" s="25"/>
      <c r="AP54" s="22"/>
      <c r="AQ54" s="25"/>
      <c r="AR54" s="22"/>
      <c r="AS54" s="25"/>
      <c r="AT54" s="22"/>
      <c r="AU54" s="25"/>
      <c r="AV54" s="22"/>
      <c r="AW54"/>
      <c r="AX54" s="74">
        <f t="shared" si="2"/>
        <v>4.43</v>
      </c>
      <c r="AY54" s="22">
        <f t="shared" si="3"/>
        <v>4.1990521327014214</v>
      </c>
    </row>
    <row r="55" spans="1:53" x14ac:dyDescent="0.25">
      <c r="A55" s="19" t="s">
        <v>114</v>
      </c>
      <c r="B55" s="20"/>
      <c r="C55" s="25"/>
      <c r="D55" s="22"/>
      <c r="E55" s="25"/>
      <c r="F55" s="22"/>
      <c r="G55" s="25"/>
      <c r="H55" s="22"/>
      <c r="I55" s="25"/>
      <c r="J55" s="22"/>
      <c r="K55" s="1"/>
      <c r="L55" s="73"/>
      <c r="M55" s="25"/>
      <c r="N55" s="22"/>
      <c r="O55" s="25"/>
      <c r="P55" s="22"/>
      <c r="Q55" s="25"/>
      <c r="R55" s="22"/>
      <c r="S55" s="25"/>
      <c r="T55" s="22"/>
      <c r="U55" s="25"/>
      <c r="V55" s="22"/>
      <c r="W55" s="25"/>
      <c r="X55" s="22"/>
      <c r="Y55" s="25"/>
      <c r="Z55" s="22"/>
      <c r="AA55" s="25"/>
      <c r="AB55" s="22"/>
      <c r="AC55" s="25">
        <v>0.125</v>
      </c>
      <c r="AD55" s="22">
        <v>2.88</v>
      </c>
      <c r="AE55" s="25"/>
      <c r="AF55" s="22"/>
      <c r="AG55" s="25"/>
      <c r="AH55" s="22"/>
      <c r="AI55" s="25"/>
      <c r="AJ55" s="22"/>
      <c r="AK55" s="25"/>
      <c r="AL55" s="22"/>
      <c r="AM55" s="25"/>
      <c r="AN55" s="22"/>
      <c r="AO55" s="25"/>
      <c r="AP55" s="22"/>
      <c r="AQ55" s="25"/>
      <c r="AR55" s="22"/>
      <c r="AS55" s="25"/>
      <c r="AT55" s="22"/>
      <c r="AU55" s="25"/>
      <c r="AV55" s="22"/>
      <c r="AW55"/>
      <c r="AX55" s="74">
        <f t="shared" si="2"/>
        <v>2.88</v>
      </c>
      <c r="AY55" s="22">
        <f t="shared" si="3"/>
        <v>2.7298578199052135</v>
      </c>
    </row>
    <row r="56" spans="1:53" s="18" customFormat="1" x14ac:dyDescent="0.25">
      <c r="A56" s="12" t="s">
        <v>67</v>
      </c>
      <c r="B56" s="13"/>
      <c r="C56" s="14"/>
      <c r="D56" s="15">
        <f>SUM(D57:D58)</f>
        <v>5.4</v>
      </c>
      <c r="E56" s="14"/>
      <c r="F56" s="15">
        <f>SUM(F57:F58)</f>
        <v>11</v>
      </c>
      <c r="G56" s="14"/>
      <c r="H56" s="15">
        <f>SUM(H57:H58)</f>
        <v>8.3000000000000007</v>
      </c>
      <c r="I56" s="14"/>
      <c r="J56" s="15">
        <f>SUM(J57:J58)</f>
        <v>6.9</v>
      </c>
      <c r="K56" s="70"/>
      <c r="L56" s="70">
        <f>SUM(L57:L58)</f>
        <v>10.8</v>
      </c>
      <c r="M56" s="14"/>
      <c r="N56" s="15">
        <f>SUM(N57:N58)</f>
        <v>2.2999999999999998</v>
      </c>
      <c r="O56" s="14"/>
      <c r="P56" s="15">
        <f>SUM(P57:P58)</f>
        <v>10.4</v>
      </c>
      <c r="Q56" s="14"/>
      <c r="R56" s="15">
        <f>SUM(R57:R58)</f>
        <v>9.8000000000000007</v>
      </c>
      <c r="S56" s="14"/>
      <c r="T56" s="15">
        <f>SUM(T57:T58)</f>
        <v>20.399999999999999</v>
      </c>
      <c r="U56" s="14"/>
      <c r="V56" s="15">
        <f>SUM(V57:V58)</f>
        <v>0</v>
      </c>
      <c r="W56" s="14"/>
      <c r="X56" s="15">
        <f>SUM(X57:X58)</f>
        <v>2</v>
      </c>
      <c r="Y56" s="14"/>
      <c r="Z56" s="15">
        <f>SUM(Z57:Z58)</f>
        <v>4</v>
      </c>
      <c r="AA56" s="14"/>
      <c r="AB56" s="15">
        <f>SUM(AB57:AB58)</f>
        <v>10.8</v>
      </c>
      <c r="AC56" s="14"/>
      <c r="AD56" s="15">
        <f>SUM(AD57:AD58)</f>
        <v>2.2999999999999998</v>
      </c>
      <c r="AE56" s="14"/>
      <c r="AF56" s="15">
        <f>SUM(AF57:AF58)</f>
        <v>19.399999999999999</v>
      </c>
      <c r="AG56" s="14"/>
      <c r="AH56" s="15">
        <f>SUM(AH57:AH58)</f>
        <v>0</v>
      </c>
      <c r="AI56" s="14"/>
      <c r="AJ56" s="15">
        <f>SUM(AJ57:AJ58)</f>
        <v>0</v>
      </c>
      <c r="AK56" s="14"/>
      <c r="AL56" s="15">
        <f>SUM(AL57:AL58)</f>
        <v>0</v>
      </c>
      <c r="AM56" s="14"/>
      <c r="AN56" s="15">
        <f>SUM(AN57:AN58)</f>
        <v>0</v>
      </c>
      <c r="AO56" s="14"/>
      <c r="AP56" s="15">
        <f>SUM(AP57:AP58)</f>
        <v>0</v>
      </c>
      <c r="AQ56" s="14"/>
      <c r="AR56" s="15">
        <f>SUM(AR57:AR58)</f>
        <v>0</v>
      </c>
      <c r="AS56" s="14"/>
      <c r="AT56" s="15">
        <f>SUM(AT57:AT58)</f>
        <v>0</v>
      </c>
      <c r="AU56" s="14"/>
      <c r="AV56" s="15">
        <f>SUM(AV57:AV58)</f>
        <v>0</v>
      </c>
      <c r="AX56" s="71"/>
      <c r="AY56" s="15"/>
    </row>
    <row r="57" spans="1:53" x14ac:dyDescent="0.25">
      <c r="A57" s="19" t="s">
        <v>68</v>
      </c>
      <c r="B57" s="20" t="s">
        <v>69</v>
      </c>
      <c r="C57" s="21">
        <v>1</v>
      </c>
      <c r="D57" s="22">
        <v>2.5</v>
      </c>
      <c r="E57" s="21">
        <v>1</v>
      </c>
      <c r="F57" s="22">
        <v>2.2999999999999998</v>
      </c>
      <c r="G57" s="21">
        <v>1</v>
      </c>
      <c r="H57" s="22">
        <f>G57*2.5</f>
        <v>2.5</v>
      </c>
      <c r="I57" s="21">
        <v>3</v>
      </c>
      <c r="J57" s="22">
        <v>6.9</v>
      </c>
      <c r="K57" s="24">
        <v>2</v>
      </c>
      <c r="L57" s="73">
        <v>5</v>
      </c>
      <c r="M57" s="21">
        <v>1</v>
      </c>
      <c r="N57" s="22">
        <v>2.2999999999999998</v>
      </c>
      <c r="O57" s="21">
        <v>3</v>
      </c>
      <c r="P57" s="22">
        <v>7.5</v>
      </c>
      <c r="Q57" s="21">
        <v>3</v>
      </c>
      <c r="R57" s="22">
        <v>6.9</v>
      </c>
      <c r="S57" s="21">
        <v>7</v>
      </c>
      <c r="T57" s="22">
        <v>17.5</v>
      </c>
      <c r="U57" s="21"/>
      <c r="V57" s="22"/>
      <c r="W57" s="21"/>
      <c r="X57" s="22">
        <v>2</v>
      </c>
      <c r="Y57" s="21"/>
      <c r="Z57" s="22">
        <v>4</v>
      </c>
      <c r="AA57" s="21">
        <v>2</v>
      </c>
      <c r="AB57" s="22">
        <v>5</v>
      </c>
      <c r="AC57" s="21">
        <v>1</v>
      </c>
      <c r="AD57" s="22">
        <v>2.2999999999999998</v>
      </c>
      <c r="AE57" s="21">
        <v>2</v>
      </c>
      <c r="AF57" s="22">
        <v>5</v>
      </c>
      <c r="AG57" s="21"/>
      <c r="AH57" s="22"/>
      <c r="AI57" s="21"/>
      <c r="AJ57" s="22"/>
      <c r="AK57" s="21"/>
      <c r="AL57" s="22"/>
      <c r="AM57" s="21"/>
      <c r="AN57" s="22"/>
      <c r="AO57" s="21"/>
      <c r="AP57" s="22"/>
      <c r="AQ57" s="21"/>
      <c r="AR57" s="22"/>
      <c r="AS57" s="21"/>
      <c r="AT57" s="22"/>
      <c r="AU57" s="21"/>
      <c r="AV57" s="22"/>
      <c r="AW57"/>
      <c r="AX57" s="74">
        <f>SUM(AV57,AT57,AR57,AP57,AL57,AJ57,AN57,AH57,AF57,AD57,AB57,Z57,X57,T57,V57,R57,P57,N57,L57,J57,H57,F57,D57)</f>
        <v>71.699999999999989</v>
      </c>
      <c r="AY57" s="22">
        <f>AX57/1.055</f>
        <v>67.962085308056871</v>
      </c>
      <c r="BA57" s="75"/>
    </row>
    <row r="58" spans="1:53" x14ac:dyDescent="0.25">
      <c r="A58" s="7" t="s">
        <v>70</v>
      </c>
      <c r="B58" s="8" t="s">
        <v>69</v>
      </c>
      <c r="C58" s="26">
        <v>1</v>
      </c>
      <c r="D58" s="10">
        <v>2.9</v>
      </c>
      <c r="E58" s="26">
        <v>3</v>
      </c>
      <c r="F58" s="10">
        <v>8.6999999999999993</v>
      </c>
      <c r="G58" s="26">
        <v>2</v>
      </c>
      <c r="H58" s="10">
        <f>G58*2.9</f>
        <v>5.8</v>
      </c>
      <c r="I58" s="26"/>
      <c r="J58" s="10"/>
      <c r="K58" s="26">
        <v>2</v>
      </c>
      <c r="L58" s="68">
        <v>5.8</v>
      </c>
      <c r="M58" s="26"/>
      <c r="N58" s="10"/>
      <c r="O58" s="26">
        <v>1</v>
      </c>
      <c r="P58" s="10">
        <v>2.9</v>
      </c>
      <c r="Q58" s="26">
        <v>1</v>
      </c>
      <c r="R58" s="10">
        <v>2.9</v>
      </c>
      <c r="S58" s="26">
        <v>1</v>
      </c>
      <c r="T58" s="10">
        <v>2.9</v>
      </c>
      <c r="U58" s="26"/>
      <c r="V58" s="10"/>
      <c r="W58" s="26"/>
      <c r="X58" s="10"/>
      <c r="Y58" s="26"/>
      <c r="Z58" s="10"/>
      <c r="AA58" s="26">
        <v>2</v>
      </c>
      <c r="AB58" s="10">
        <v>5.8</v>
      </c>
      <c r="AC58" s="26"/>
      <c r="AD58" s="10"/>
      <c r="AE58" s="26">
        <v>6</v>
      </c>
      <c r="AF58" s="10">
        <v>14.4</v>
      </c>
      <c r="AG58" s="26"/>
      <c r="AH58" s="10"/>
      <c r="AI58" s="26"/>
      <c r="AJ58" s="10"/>
      <c r="AK58" s="26"/>
      <c r="AL58" s="10"/>
      <c r="AM58" s="26"/>
      <c r="AN58" s="10"/>
      <c r="AO58" s="26"/>
      <c r="AP58" s="10"/>
      <c r="AQ58" s="26"/>
      <c r="AR58" s="10"/>
      <c r="AS58" s="26"/>
      <c r="AT58" s="10"/>
      <c r="AU58" s="26"/>
      <c r="AV58" s="10"/>
      <c r="AW58"/>
      <c r="AX58" s="74">
        <f>SUM(AV58,AT58,AR58,AP58,AL58,AJ58,AN58,AH58,AF58,AD58,AB58,Z58,X58,T58,V58,R58,P58,N58,L58,J58,H58,F58,D58)</f>
        <v>52.099999999999987</v>
      </c>
      <c r="AY58" s="22">
        <f>AX58/1.055</f>
        <v>49.38388625592416</v>
      </c>
    </row>
    <row r="59" spans="1:53" s="18" customFormat="1" x14ac:dyDescent="0.25">
      <c r="A59" s="12" t="s">
        <v>71</v>
      </c>
      <c r="B59" s="13"/>
      <c r="C59" s="14"/>
      <c r="D59" s="15">
        <f>SUM(D60:D60)</f>
        <v>5.4</v>
      </c>
      <c r="E59" s="14"/>
      <c r="F59" s="15">
        <f>SUM(F60:F60)</f>
        <v>8</v>
      </c>
      <c r="G59" s="14"/>
      <c r="H59" s="15">
        <f>SUM(H60:H60)</f>
        <v>5</v>
      </c>
      <c r="I59" s="14"/>
      <c r="J59" s="15">
        <f>SUM(J60:J60)</f>
        <v>0</v>
      </c>
      <c r="K59" s="70"/>
      <c r="L59" s="70"/>
      <c r="M59" s="14"/>
      <c r="N59" s="15">
        <f>SUM(N60:N60)</f>
        <v>0</v>
      </c>
      <c r="O59" s="14"/>
      <c r="P59" s="15">
        <f>SUM(P60:P60)</f>
        <v>3.6</v>
      </c>
      <c r="Q59" s="14"/>
      <c r="R59" s="15">
        <f>SUM(R60:R60)</f>
        <v>0</v>
      </c>
      <c r="S59" s="14"/>
      <c r="T59" s="15">
        <f>SUM(T60:T60)</f>
        <v>3</v>
      </c>
      <c r="U59" s="14"/>
      <c r="V59" s="15">
        <f>SUM(V60:V60)</f>
        <v>0</v>
      </c>
      <c r="W59" s="14"/>
      <c r="X59" s="15">
        <f>SUM(X60:X60)</f>
        <v>0</v>
      </c>
      <c r="Y59" s="14"/>
      <c r="Z59" s="15">
        <f>SUM(Z60:Z60)</f>
        <v>0</v>
      </c>
      <c r="AA59" s="14"/>
      <c r="AB59" s="15">
        <f>SUM(AB60:AB60)</f>
        <v>8</v>
      </c>
      <c r="AC59" s="14"/>
      <c r="AD59" s="15">
        <f>SUM(AD60:AD60)</f>
        <v>0</v>
      </c>
      <c r="AE59" s="14"/>
      <c r="AF59" s="15">
        <f>SUM(AF60:AF60)</f>
        <v>3</v>
      </c>
      <c r="AG59" s="14"/>
      <c r="AH59" s="15">
        <f>SUM(AH60:AH60)</f>
        <v>0</v>
      </c>
      <c r="AI59" s="14"/>
      <c r="AJ59" s="15">
        <f>SUM(AJ60:AJ60)</f>
        <v>0</v>
      </c>
      <c r="AK59" s="14"/>
      <c r="AL59" s="15">
        <f>SUM(AL60:AL60)</f>
        <v>0</v>
      </c>
      <c r="AM59" s="14"/>
      <c r="AN59" s="15">
        <f>SUM(AN60:AN60)</f>
        <v>0</v>
      </c>
      <c r="AO59" s="14"/>
      <c r="AP59" s="15">
        <f>SUM(AP60:AP60)</f>
        <v>0</v>
      </c>
      <c r="AQ59" s="14"/>
      <c r="AR59" s="15">
        <f>SUM(AR60:AR60)</f>
        <v>0</v>
      </c>
      <c r="AS59" s="14"/>
      <c r="AT59" s="15">
        <f>SUM(AT60:AT60)</f>
        <v>0</v>
      </c>
      <c r="AU59" s="14"/>
      <c r="AV59" s="15">
        <f>SUM(AV60:AV60)</f>
        <v>0</v>
      </c>
      <c r="AX59" s="71"/>
      <c r="AY59" s="15"/>
    </row>
    <row r="60" spans="1:53" x14ac:dyDescent="0.25">
      <c r="A60" s="7" t="s">
        <v>72</v>
      </c>
      <c r="B60" s="8" t="s">
        <v>73</v>
      </c>
      <c r="C60" s="26">
        <v>18</v>
      </c>
      <c r="D60" s="10">
        <v>5.4</v>
      </c>
      <c r="E60" s="26">
        <v>24</v>
      </c>
      <c r="F60" s="10">
        <v>8</v>
      </c>
      <c r="G60" s="26">
        <v>15</v>
      </c>
      <c r="H60" s="10">
        <v>5</v>
      </c>
      <c r="I60" s="26"/>
      <c r="J60" s="10"/>
      <c r="K60" s="76">
        <v>25</v>
      </c>
      <c r="L60" s="68">
        <v>7.2</v>
      </c>
      <c r="M60" s="26"/>
      <c r="N60" s="10"/>
      <c r="O60" s="26">
        <v>22</v>
      </c>
      <c r="P60" s="10">
        <v>3.6</v>
      </c>
      <c r="Q60" s="26"/>
      <c r="R60" s="10"/>
      <c r="S60" s="26"/>
      <c r="T60" s="10">
        <v>3</v>
      </c>
      <c r="U60" s="26"/>
      <c r="V60" s="10"/>
      <c r="W60" s="26"/>
      <c r="X60" s="10"/>
      <c r="Y60" s="26"/>
      <c r="Z60" s="10"/>
      <c r="AA60" s="26">
        <v>24</v>
      </c>
      <c r="AB60" s="10">
        <v>8</v>
      </c>
      <c r="AC60" s="26"/>
      <c r="AD60" s="10"/>
      <c r="AE60" s="26">
        <v>9</v>
      </c>
      <c r="AF60" s="10">
        <v>3</v>
      </c>
      <c r="AG60" s="26"/>
      <c r="AH60" s="10"/>
      <c r="AI60" s="26"/>
      <c r="AJ60" s="10"/>
      <c r="AK60" s="26"/>
      <c r="AL60" s="10"/>
      <c r="AM60" s="26"/>
      <c r="AN60" s="10"/>
      <c r="AO60" s="26"/>
      <c r="AP60" s="10"/>
      <c r="AQ60" s="26"/>
      <c r="AR60" s="10"/>
      <c r="AS60" s="26"/>
      <c r="AT60" s="10"/>
      <c r="AU60" s="26"/>
      <c r="AV60" s="10"/>
      <c r="AW60"/>
      <c r="AX60" s="77">
        <f>SUM(AV60,AT60,AR60,AP60,AL60,AJ60,AN60,AH60,AF60,AD60,AB60,Z60,X60,T60,V60,R60,P60,N60,L60,J60,H60,F60,D60)</f>
        <v>43.199999999999996</v>
      </c>
      <c r="AY60" s="10">
        <f>AX60/1.055</f>
        <v>40.947867298578196</v>
      </c>
    </row>
    <row r="61" spans="1:53" s="30" customFormat="1" x14ac:dyDescent="0.25">
      <c r="A61" s="138" t="s">
        <v>74</v>
      </c>
      <c r="B61" s="138"/>
      <c r="C61" s="28"/>
      <c r="D61" s="29">
        <f>D3+D30+D47+D56+D59</f>
        <v>504.17999999999995</v>
      </c>
      <c r="E61" s="28"/>
      <c r="F61" s="29">
        <f>F3+F30+F47+F56+F59</f>
        <v>1039.5000000000002</v>
      </c>
      <c r="G61" s="28"/>
      <c r="H61" s="29">
        <f>H3+H30+H47+H56+H59</f>
        <v>373.06</v>
      </c>
      <c r="I61" s="28"/>
      <c r="J61" s="29">
        <f>J3+J30+J47+J56+J59</f>
        <v>925.1099999999999</v>
      </c>
      <c r="K61" s="29"/>
      <c r="L61" s="29">
        <f>L3+L30+L47+L56+L59</f>
        <v>451.3</v>
      </c>
      <c r="M61" s="28"/>
      <c r="N61" s="29">
        <f>N3+N30+N47+N56+N59</f>
        <v>844.43</v>
      </c>
      <c r="O61" s="28"/>
      <c r="P61" s="29">
        <f>P3+P30+P47+P56+P59</f>
        <v>459.50000000000011</v>
      </c>
      <c r="Q61" s="28"/>
      <c r="R61" s="29">
        <f>R3+R30+R47+R56+R59</f>
        <v>1218.6199999999999</v>
      </c>
      <c r="S61" s="28"/>
      <c r="T61" s="29">
        <f>T3+T30+T47+T56+T59</f>
        <v>527.11</v>
      </c>
      <c r="U61" s="28"/>
      <c r="V61" s="29">
        <f>V3+V30+V47+V56+V59</f>
        <v>1269.6299999999999</v>
      </c>
      <c r="W61" s="28"/>
      <c r="X61" s="29">
        <f>X3+X30+X47+X56+X59</f>
        <v>40.299999999999997</v>
      </c>
      <c r="Y61" s="28"/>
      <c r="Z61" s="29">
        <f>Z3+Z30+Z47+Z56+Z59</f>
        <v>87.65</v>
      </c>
      <c r="AA61" s="28"/>
      <c r="AB61" s="29">
        <f>AB3+AB30+AB47+AB56+AB59</f>
        <v>599.33999999999992</v>
      </c>
      <c r="AC61" s="28"/>
      <c r="AD61" s="29">
        <f>AD3+AD30+AD47+AD56+AD59</f>
        <v>891.57999999999981</v>
      </c>
      <c r="AE61" s="28"/>
      <c r="AF61" s="29">
        <f>AF3+AF30+AF47+AF56+AF59</f>
        <v>609.91</v>
      </c>
      <c r="AG61" s="28"/>
      <c r="AH61" s="29">
        <f>AH3+AH30+AH47+AH56+AH59</f>
        <v>1109.22</v>
      </c>
      <c r="AI61" s="28"/>
      <c r="AJ61" s="29">
        <f>AJ3+AJ30+AJ47+AJ56+AJ59</f>
        <v>0</v>
      </c>
      <c r="AK61" s="28"/>
      <c r="AL61" s="29">
        <f>AL3+AL30+AL47+AL56+AL59</f>
        <v>0</v>
      </c>
      <c r="AM61" s="28"/>
      <c r="AN61" s="29">
        <f>AN3+AN30+AN47+AN56+AN59</f>
        <v>0</v>
      </c>
      <c r="AO61" s="28"/>
      <c r="AP61" s="29">
        <f>AP3+AP30+AP47+AP56+AP59</f>
        <v>0</v>
      </c>
      <c r="AQ61" s="28"/>
      <c r="AR61" s="29">
        <f>AR3+AR30+AR47+AR56+AR59</f>
        <v>0</v>
      </c>
      <c r="AS61" s="28"/>
      <c r="AT61" s="29">
        <f>AT3+AT30+AT47+AT56+AT59</f>
        <v>0</v>
      </c>
      <c r="AU61" s="28"/>
      <c r="AV61" s="29">
        <f>AV3+AV30+AV47+AV56+AV59</f>
        <v>0</v>
      </c>
      <c r="AW61" s="29"/>
      <c r="AX61" s="29">
        <f>SUM(D61,F61,H61,J61,L61,N61,P61,R61,T61,V61,X61,Z61,AB61,AD61,AF61,AH61,AJ61,AL61,AN61,AP61,AR61,AT61,AV61)</f>
        <v>10950.439999999999</v>
      </c>
      <c r="AY61" s="29">
        <f>AX61/1.055</f>
        <v>10379.563981042653</v>
      </c>
    </row>
    <row r="62" spans="1:53" x14ac:dyDescent="0.2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Y62" s="78"/>
    </row>
    <row r="63" spans="1:53" x14ac:dyDescent="0.25">
      <c r="A63" s="139" t="s">
        <v>75</v>
      </c>
      <c r="B63" s="33" t="s">
        <v>76</v>
      </c>
      <c r="C63" s="34"/>
      <c r="D63" s="35">
        <v>504</v>
      </c>
      <c r="E63" s="34"/>
      <c r="F63" s="36">
        <v>900</v>
      </c>
      <c r="G63" s="34"/>
      <c r="H63" s="37">
        <v>373</v>
      </c>
      <c r="I63" s="34"/>
      <c r="J63" s="37">
        <v>895</v>
      </c>
      <c r="K63" s="36"/>
      <c r="L63" s="36">
        <f>457-48.7</f>
        <v>408.3</v>
      </c>
      <c r="M63" s="34"/>
      <c r="N63" s="37">
        <f>875.92-72.27</f>
        <v>803.65</v>
      </c>
      <c r="O63" s="34"/>
      <c r="P63" s="37">
        <f>467-10.97</f>
        <v>456.03</v>
      </c>
      <c r="Q63" s="34"/>
      <c r="R63" s="36">
        <f>1100-46.95</f>
        <v>1053.05</v>
      </c>
      <c r="S63" s="34"/>
      <c r="T63" s="37">
        <f>600-72.63</f>
        <v>527.37</v>
      </c>
      <c r="U63" s="34"/>
      <c r="V63" s="37">
        <f>1250-91.46</f>
        <v>1158.54</v>
      </c>
      <c r="W63" s="34"/>
      <c r="X63" s="37">
        <v>40</v>
      </c>
      <c r="Y63" s="34"/>
      <c r="Z63" s="37">
        <v>88</v>
      </c>
      <c r="AA63" s="34"/>
      <c r="AB63" s="37">
        <f>628-28.43</f>
        <v>599.57000000000005</v>
      </c>
      <c r="AC63" s="34"/>
      <c r="AD63" s="37">
        <f>770-51.22</f>
        <v>718.78</v>
      </c>
      <c r="AE63" s="34"/>
      <c r="AF63" s="37">
        <f>677.8-74.65</f>
        <v>603.15</v>
      </c>
      <c r="AG63" s="34"/>
      <c r="AH63" s="37">
        <f>1110-93.15</f>
        <v>1016.85</v>
      </c>
      <c r="AI63" s="34"/>
      <c r="AJ63" s="37"/>
      <c r="AK63" s="34"/>
      <c r="AL63" s="37"/>
      <c r="AM63" s="34"/>
      <c r="AN63" s="37"/>
      <c r="AO63" s="34"/>
      <c r="AP63" s="37"/>
      <c r="AQ63" s="34"/>
      <c r="AR63" s="37"/>
      <c r="AS63" s="34"/>
      <c r="AT63" s="37"/>
      <c r="AU63" s="34"/>
      <c r="AV63" s="37"/>
      <c r="AW63" s="79"/>
      <c r="AX63" s="34">
        <f>SUM(D63,F63,H63,J63,L63,N63,P63,R63,T63,V63,X63,Z63,AB63,AD63,AF63,AH63,AJ63,AL63,AN63,AP63,AR63,AT63,AV63)</f>
        <v>10145.290000000001</v>
      </c>
      <c r="AY63" s="37">
        <f>AX63/1.055</f>
        <v>9616.388625592419</v>
      </c>
    </row>
    <row r="64" spans="1:53" x14ac:dyDescent="0.25">
      <c r="A64" s="139"/>
      <c r="B64" s="38" t="s">
        <v>77</v>
      </c>
      <c r="C64" s="39"/>
      <c r="D64" s="40"/>
      <c r="E64" s="39">
        <v>8</v>
      </c>
      <c r="F64" s="41">
        <v>139.19999999999999</v>
      </c>
      <c r="G64" s="39"/>
      <c r="H64" s="42"/>
      <c r="I64" s="43"/>
      <c r="J64" s="42">
        <v>30.7</v>
      </c>
      <c r="K64" s="41"/>
      <c r="L64" s="41">
        <v>43</v>
      </c>
      <c r="M64" s="39">
        <v>3</v>
      </c>
      <c r="N64" s="42">
        <v>40.92</v>
      </c>
      <c r="O64" s="39"/>
      <c r="P64" s="42"/>
      <c r="Q64" s="43"/>
      <c r="R64" s="41">
        <v>165.11</v>
      </c>
      <c r="S64" s="39"/>
      <c r="T64" s="42"/>
      <c r="U64" s="39">
        <v>5</v>
      </c>
      <c r="V64" s="42">
        <v>110.7</v>
      </c>
      <c r="W64" s="39"/>
      <c r="X64" s="42"/>
      <c r="Y64" s="39"/>
      <c r="Z64" s="42"/>
      <c r="AA64" s="39"/>
      <c r="AB64" s="42"/>
      <c r="AC64" s="39">
        <v>7</v>
      </c>
      <c r="AD64" s="42">
        <v>174.6</v>
      </c>
      <c r="AE64" s="39">
        <v>1</v>
      </c>
      <c r="AF64" s="42">
        <v>6.8</v>
      </c>
      <c r="AG64" s="39">
        <v>4</v>
      </c>
      <c r="AH64" s="42">
        <v>92.41</v>
      </c>
      <c r="AI64" s="39"/>
      <c r="AJ64" s="42"/>
      <c r="AK64" s="39"/>
      <c r="AL64" s="42"/>
      <c r="AM64" s="39"/>
      <c r="AN64" s="42"/>
      <c r="AO64" s="39"/>
      <c r="AP64" s="42"/>
      <c r="AQ64" s="39"/>
      <c r="AR64" s="42"/>
      <c r="AS64" s="39"/>
      <c r="AT64" s="42"/>
      <c r="AU64" s="39"/>
      <c r="AV64" s="42"/>
      <c r="AW64" s="80">
        <f>SUM(C64,E64,G64,I64,K64,M64,O64,Q64,S64,U64,W64,Y64,AA64,AC64,AE64,AG64,AI64,AK64,AM64,AO64,AQ64,AS64,AU64)</f>
        <v>28</v>
      </c>
      <c r="AX64" s="39">
        <f>SUM(D64,F64,H64,J64,L64,N64,P64,R64,T64,V64,X64,Z64,AB64,AD64,AF64,AH64,AJ64,AL64,AN64,AP64,AR64,AT64,AV64)</f>
        <v>803.43999999999994</v>
      </c>
      <c r="AY64" s="42">
        <f>AX64/1.055</f>
        <v>761.55450236966828</v>
      </c>
    </row>
    <row r="65" spans="1:51" x14ac:dyDescent="0.25">
      <c r="A65" s="139"/>
      <c r="B65" s="38"/>
      <c r="C65" s="43"/>
      <c r="D65" s="40"/>
      <c r="E65" s="43"/>
      <c r="F65" s="41"/>
      <c r="G65" s="43"/>
      <c r="H65" s="42"/>
      <c r="I65" s="43"/>
      <c r="J65" s="42"/>
      <c r="K65" s="41"/>
      <c r="L65" s="41"/>
      <c r="M65" s="43"/>
      <c r="N65" s="42"/>
      <c r="O65" s="43"/>
      <c r="P65" s="42"/>
      <c r="Q65" s="43"/>
      <c r="R65" s="41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42"/>
      <c r="AG65" s="43"/>
      <c r="AH65" s="42"/>
      <c r="AI65" s="43"/>
      <c r="AJ65" s="42"/>
      <c r="AK65" s="43"/>
      <c r="AL65" s="42"/>
      <c r="AM65" s="43"/>
      <c r="AN65" s="42"/>
      <c r="AO65" s="43"/>
      <c r="AP65" s="42"/>
      <c r="AQ65" s="43"/>
      <c r="AR65" s="42"/>
      <c r="AS65" s="43"/>
      <c r="AT65" s="42"/>
      <c r="AU65" s="43"/>
      <c r="AV65" s="42"/>
      <c r="AW65" s="81"/>
      <c r="AX65" s="43"/>
      <c r="AY65" s="42"/>
    </row>
    <row r="66" spans="1:51" s="51" customFormat="1" x14ac:dyDescent="0.25">
      <c r="A66" s="139"/>
      <c r="B66" s="44" t="s">
        <v>78</v>
      </c>
      <c r="C66" s="45"/>
      <c r="D66" s="46">
        <f>SUM(D63:D65)</f>
        <v>504</v>
      </c>
      <c r="E66" s="45"/>
      <c r="F66" s="47">
        <f>SUM(F63:F65)</f>
        <v>1039.2</v>
      </c>
      <c r="G66" s="45"/>
      <c r="H66" s="48">
        <f>SUM(H63:H65)</f>
        <v>373</v>
      </c>
      <c r="I66" s="45"/>
      <c r="J66" s="48">
        <f>SUM(J63:J65)</f>
        <v>925.7</v>
      </c>
      <c r="K66" s="47"/>
      <c r="L66" s="47">
        <f>SUM(L63:L65)</f>
        <v>451.3</v>
      </c>
      <c r="M66" s="45"/>
      <c r="N66" s="48">
        <f>SUM(N63:N65)</f>
        <v>844.56999999999994</v>
      </c>
      <c r="O66" s="45"/>
      <c r="P66" s="48">
        <f>SUM(P63:P65)</f>
        <v>456.03</v>
      </c>
      <c r="Q66" s="45"/>
      <c r="R66" s="47">
        <f>SUM(R63:R65)</f>
        <v>1218.1599999999999</v>
      </c>
      <c r="S66" s="45"/>
      <c r="T66" s="48">
        <f>SUM(T63:T65)</f>
        <v>527.37</v>
      </c>
      <c r="U66" s="45"/>
      <c r="V66" s="48">
        <f>SUM(V63:V65)</f>
        <v>1269.24</v>
      </c>
      <c r="W66" s="45"/>
      <c r="X66" s="48">
        <f>SUM(X63:X65)</f>
        <v>40</v>
      </c>
      <c r="Y66" s="45"/>
      <c r="Z66" s="48">
        <f>SUM(Z63:Z65)</f>
        <v>88</v>
      </c>
      <c r="AA66" s="45"/>
      <c r="AB66" s="48">
        <f>SUM(AB63:AB65)</f>
        <v>599.57000000000005</v>
      </c>
      <c r="AC66" s="45"/>
      <c r="AD66" s="48">
        <f>SUM(AD63:AD65)</f>
        <v>893.38</v>
      </c>
      <c r="AE66" s="45"/>
      <c r="AF66" s="48">
        <f>SUM(AF63:AF65)</f>
        <v>609.94999999999993</v>
      </c>
      <c r="AG66" s="45"/>
      <c r="AH66" s="48">
        <f>SUM(AH63:AH65)</f>
        <v>1109.26</v>
      </c>
      <c r="AI66" s="45"/>
      <c r="AJ66" s="48">
        <f>SUM(AJ63:AJ65)</f>
        <v>0</v>
      </c>
      <c r="AK66" s="45"/>
      <c r="AL66" s="48">
        <f>SUM(AL63:AL65)</f>
        <v>0</v>
      </c>
      <c r="AM66" s="45"/>
      <c r="AN66" s="48">
        <f>SUM(AN63:AN65)</f>
        <v>0</v>
      </c>
      <c r="AO66" s="45"/>
      <c r="AP66" s="48">
        <f>SUM(AP63:AP65)</f>
        <v>0</v>
      </c>
      <c r="AQ66" s="45"/>
      <c r="AR66" s="48">
        <f>SUM(AR63:AR65)</f>
        <v>0</v>
      </c>
      <c r="AS66" s="45"/>
      <c r="AT66" s="48">
        <f>SUM(AT63:AT65)</f>
        <v>0</v>
      </c>
      <c r="AU66" s="45"/>
      <c r="AV66" s="48">
        <f>SUM(AV63:AV65)</f>
        <v>0</v>
      </c>
      <c r="AW66" s="82"/>
      <c r="AX66" s="45">
        <f>SUM(AX63:AX65)</f>
        <v>10948.730000000001</v>
      </c>
      <c r="AY66" s="48">
        <f>SUM(AY63:AY65)</f>
        <v>10377.943127962088</v>
      </c>
    </row>
    <row r="67" spans="1:51" ht="15" customHeight="1" x14ac:dyDescent="0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32"/>
      <c r="X67" s="32"/>
      <c r="Y67" s="32"/>
      <c r="Z67" s="32"/>
      <c r="AA67" s="32"/>
      <c r="AB67" s="32"/>
      <c r="AC67" s="32"/>
      <c r="AD67" s="32"/>
      <c r="AE67" s="66"/>
      <c r="AF67" s="66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</sheetData>
  <mergeCells count="27">
    <mergeCell ref="A61:B61"/>
    <mergeCell ref="A63:A66"/>
    <mergeCell ref="AQ1:AR1"/>
    <mergeCell ref="AS1:AT1"/>
    <mergeCell ref="AU1:AV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X1:AX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FF"/>
  </sheetPr>
  <dimension ref="A1:BA67"/>
  <sheetViews>
    <sheetView windowProtection="1" zoomScaleNormal="100" workbookViewId="0">
      <pane xSplit="2" ySplit="2" topLeftCell="AW23" activePane="bottomRight" state="frozen"/>
      <selection pane="topRight" activeCell="AW1" sqref="AW1"/>
      <selection pane="bottomLeft" activeCell="A23" sqref="A23"/>
      <selection pane="bottomRight" activeCell="Q1" sqref="Q1"/>
    </sheetView>
  </sheetViews>
  <sheetFormatPr baseColWidth="10" defaultColWidth="9.140625" defaultRowHeight="15" x14ac:dyDescent="0.25"/>
  <cols>
    <col min="1" max="1" width="29"/>
    <col min="2" max="2" width="9.85546875"/>
    <col min="3" max="3" width="0" style="1" hidden="1"/>
    <col min="4" max="4" width="0" style="2" hidden="1"/>
    <col min="5" max="5" width="0" style="1" hidden="1"/>
    <col min="6" max="6" width="0" style="2" hidden="1"/>
    <col min="7" max="7" width="0" style="1" hidden="1"/>
    <col min="8" max="8" width="0" style="2" hidden="1"/>
    <col min="9" max="9" width="0" style="1" hidden="1"/>
    <col min="10" max="12" width="0" style="2" hidden="1"/>
    <col min="13" max="13" width="0" style="1" hidden="1"/>
    <col min="14" max="14" width="0" style="2" hidden="1"/>
    <col min="15" max="15" width="0" style="1" hidden="1"/>
    <col min="16" max="16" width="0" style="2" hidden="1"/>
    <col min="17" max="17" width="0" style="1" hidden="1"/>
    <col min="18" max="18" width="0" style="2" hidden="1"/>
    <col min="19" max="19" width="0" style="1" hidden="1"/>
    <col min="20" max="20" width="0" style="2" hidden="1"/>
    <col min="21" max="21" width="0" style="1" hidden="1"/>
    <col min="22" max="22" width="0" style="2" hidden="1"/>
    <col min="23" max="23" width="0" style="1" hidden="1"/>
    <col min="24" max="24" width="0" style="2" hidden="1"/>
    <col min="25" max="25" width="0" style="1" hidden="1"/>
    <col min="26" max="26" width="0" style="2" hidden="1"/>
    <col min="27" max="27" width="0" style="1" hidden="1"/>
    <col min="28" max="28" width="0" style="2" hidden="1"/>
    <col min="29" max="29" width="0" style="1" hidden="1"/>
    <col min="30" max="30" width="0" style="2" hidden="1"/>
    <col min="31" max="31" width="0" style="1" hidden="1"/>
    <col min="32" max="32" width="0" style="2" hidden="1"/>
    <col min="33" max="33" width="0" style="1" hidden="1"/>
    <col min="34" max="34" width="0" style="2" hidden="1"/>
    <col min="35" max="35" width="0" style="1" hidden="1"/>
    <col min="36" max="36" width="0" style="2" hidden="1"/>
    <col min="37" max="37" width="0" style="1" hidden="1"/>
    <col min="38" max="38" width="0" style="2" hidden="1"/>
    <col min="39" max="39" width="0" style="1" hidden="1"/>
    <col min="40" max="40" width="0" style="2" hidden="1"/>
    <col min="41" max="41" width="0" style="1" hidden="1"/>
    <col min="42" max="42" width="0" style="2" hidden="1"/>
    <col min="43" max="43" width="0" style="1" hidden="1"/>
    <col min="44" max="44" width="0" style="2" hidden="1"/>
    <col min="45" max="45" width="0" style="1" hidden="1"/>
    <col min="46" max="46" width="0" style="2" hidden="1"/>
    <col min="47" max="47" width="0" style="1" hidden="1"/>
    <col min="48" max="48" width="0" style="2" hidden="1"/>
    <col min="49" max="49" width="11.42578125" style="2"/>
    <col min="50" max="50" width="11.85546875"/>
    <col min="51" max="51" width="12.85546875"/>
    <col min="52" max="52" width="11.85546875"/>
    <col min="53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135</v>
      </c>
      <c r="D1" s="136"/>
      <c r="E1" s="136" t="s">
        <v>136</v>
      </c>
      <c r="F1" s="136"/>
      <c r="G1" s="136" t="s">
        <v>137</v>
      </c>
      <c r="H1" s="136"/>
      <c r="I1" s="136" t="s">
        <v>138</v>
      </c>
      <c r="J1" s="136"/>
      <c r="K1" s="145" t="s">
        <v>139</v>
      </c>
      <c r="L1" s="145"/>
      <c r="M1" s="136" t="s">
        <v>140</v>
      </c>
      <c r="N1" s="136"/>
      <c r="O1" s="136" t="s">
        <v>141</v>
      </c>
      <c r="P1" s="136"/>
      <c r="Q1" s="136" t="s">
        <v>142</v>
      </c>
      <c r="R1" s="136"/>
      <c r="S1" s="136" t="s">
        <v>143</v>
      </c>
      <c r="T1" s="136"/>
      <c r="U1" s="136" t="s">
        <v>144</v>
      </c>
      <c r="V1" s="136"/>
      <c r="W1" s="136" t="s">
        <v>145</v>
      </c>
      <c r="X1" s="136"/>
      <c r="Y1" s="136" t="s">
        <v>146</v>
      </c>
      <c r="Z1" s="136"/>
      <c r="AA1" s="136" t="s">
        <v>147</v>
      </c>
      <c r="AB1" s="136"/>
      <c r="AC1" s="136" t="s">
        <v>148</v>
      </c>
      <c r="AD1" s="136"/>
      <c r="AE1" s="136" t="s">
        <v>149</v>
      </c>
      <c r="AF1" s="136"/>
      <c r="AG1" s="136" t="s">
        <v>150</v>
      </c>
      <c r="AH1" s="136"/>
      <c r="AI1" s="136" t="s">
        <v>151</v>
      </c>
      <c r="AJ1" s="136"/>
      <c r="AK1" s="136" t="s">
        <v>152</v>
      </c>
      <c r="AL1" s="136"/>
      <c r="AM1" s="136" t="s">
        <v>153</v>
      </c>
      <c r="AN1" s="136"/>
      <c r="AO1" s="136" t="s">
        <v>154</v>
      </c>
      <c r="AP1" s="136"/>
      <c r="AQ1" s="136" t="s">
        <v>155</v>
      </c>
      <c r="AR1" s="136"/>
      <c r="AS1" s="136" t="s">
        <v>156</v>
      </c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SUM(D4:D29)</f>
        <v>350.50999999999993</v>
      </c>
      <c r="E3" s="14"/>
      <c r="F3" s="15">
        <f>SUM(F4:F29)</f>
        <v>878.43000000000006</v>
      </c>
      <c r="G3" s="14"/>
      <c r="H3" s="15">
        <f>SUM(H4:H29)</f>
        <v>58.8</v>
      </c>
      <c r="I3" s="14"/>
      <c r="J3" s="15">
        <f>SUM(J4:J29)</f>
        <v>532.82000000000005</v>
      </c>
      <c r="K3" s="70"/>
      <c r="L3" s="70">
        <f>SUM(L4:L29)</f>
        <v>1004.1600000000001</v>
      </c>
      <c r="M3" s="14"/>
      <c r="N3" s="15">
        <f>SUM(N4:N29)</f>
        <v>305.8</v>
      </c>
      <c r="O3" s="14"/>
      <c r="P3" s="15">
        <f>SUM(P4:P29)</f>
        <v>1015.89</v>
      </c>
      <c r="Q3" s="14"/>
      <c r="R3" s="15">
        <f>SUM(R4:R29)</f>
        <v>62.6</v>
      </c>
      <c r="S3" s="14"/>
      <c r="T3" s="15">
        <f>SUM(T4:T29)</f>
        <v>493.95999999999992</v>
      </c>
      <c r="U3" s="14"/>
      <c r="V3" s="15">
        <f>SUM(V4:V29)</f>
        <v>1002.29</v>
      </c>
      <c r="W3" s="14"/>
      <c r="X3" s="15">
        <f>SUM(X4:X29)</f>
        <v>411.73</v>
      </c>
      <c r="Y3" s="14"/>
      <c r="Z3" s="15">
        <f>SUM(Z4:Z29)</f>
        <v>1033.94</v>
      </c>
      <c r="AA3" s="14"/>
      <c r="AB3" s="15">
        <f>SUM(AB4:AB29)</f>
        <v>508.7700000000001</v>
      </c>
      <c r="AC3" s="14"/>
      <c r="AD3" s="15">
        <f>SUM(AD4:AD29)</f>
        <v>1238.53</v>
      </c>
      <c r="AE3" s="14"/>
      <c r="AF3" s="15">
        <f>SUM(AF4:AF29)</f>
        <v>57</v>
      </c>
      <c r="AG3" s="14"/>
      <c r="AH3" s="15">
        <f>SUM(AH4:AH29)</f>
        <v>399.71000000000004</v>
      </c>
      <c r="AI3" s="14"/>
      <c r="AJ3" s="15">
        <f>SUM(AJ4:AJ29)</f>
        <v>896.82</v>
      </c>
      <c r="AK3" s="14"/>
      <c r="AL3" s="15">
        <f>SUM(AL4:AL29)</f>
        <v>894.43</v>
      </c>
      <c r="AM3" s="14"/>
      <c r="AN3" s="15">
        <f>SUM(AN4:AN29)</f>
        <v>436.48</v>
      </c>
      <c r="AO3" s="14"/>
      <c r="AP3" s="15">
        <f>SUM(AP4:AP29)</f>
        <v>934.94000000000017</v>
      </c>
      <c r="AQ3" s="14"/>
      <c r="AR3" s="15">
        <f>SUM(AR4:AR29)</f>
        <v>215.94000000000003</v>
      </c>
      <c r="AS3" s="14"/>
      <c r="AT3" s="15">
        <f>SUM(AT4:AT29)</f>
        <v>204.83</v>
      </c>
      <c r="AU3" s="14"/>
      <c r="AV3" s="15">
        <f>SUM(AV4:AV29)</f>
        <v>0</v>
      </c>
      <c r="AX3" s="84">
        <f>SUM(AV3,AT3,AR3,AP3,AN3,AL3,AJ3,AH3,AF3,AD3,AB3,Z3,X3,V3,T3,R3,P3,N3,L3,J3,H3,F3,D3)</f>
        <v>12938.379999999997</v>
      </c>
      <c r="AY3" s="15">
        <f t="shared" ref="AY3:AY34" si="0">AX3/1.055</f>
        <v>12263.867298578198</v>
      </c>
    </row>
    <row r="4" spans="1:51" x14ac:dyDescent="0.25">
      <c r="A4" s="19" t="s">
        <v>25</v>
      </c>
      <c r="B4" s="20" t="s">
        <v>26</v>
      </c>
      <c r="C4" s="21">
        <v>30</v>
      </c>
      <c r="D4" s="2">
        <v>105</v>
      </c>
      <c r="E4" s="21">
        <f>9+2*9+3*10+11</f>
        <v>68</v>
      </c>
      <c r="F4" s="22">
        <f>31.5+63+100+36.3</f>
        <v>230.8</v>
      </c>
      <c r="G4" s="21"/>
      <c r="H4" s="22"/>
      <c r="I4" s="21">
        <v>44</v>
      </c>
      <c r="J4" s="22">
        <v>154</v>
      </c>
      <c r="K4" s="72">
        <f>26+2*11+3*12+1</f>
        <v>85</v>
      </c>
      <c r="L4" s="73">
        <f>91+77+120+3.3</f>
        <v>291.3</v>
      </c>
      <c r="M4" s="21">
        <v>30</v>
      </c>
      <c r="N4" s="22">
        <v>105</v>
      </c>
      <c r="O4" s="21">
        <f>21+2*11+3*9+2</f>
        <v>72</v>
      </c>
      <c r="P4" s="22">
        <f>73.5+77+90+6.6</f>
        <v>247.1</v>
      </c>
      <c r="Q4" s="21"/>
      <c r="R4" s="22"/>
      <c r="S4" s="21">
        <v>6</v>
      </c>
      <c r="T4" s="22">
        <v>147</v>
      </c>
      <c r="U4" s="21">
        <f>14+2*8+3*8+1</f>
        <v>55</v>
      </c>
      <c r="V4" s="22">
        <f>49+56+80+3.3</f>
        <v>188.3</v>
      </c>
      <c r="W4" s="21"/>
      <c r="X4" s="22">
        <v>98</v>
      </c>
      <c r="Y4" s="21">
        <f>14+2*9+3*10+2</f>
        <v>64</v>
      </c>
      <c r="Z4" s="22">
        <f>49+63+100+6.6</f>
        <v>218.6</v>
      </c>
      <c r="AA4" s="21">
        <v>13</v>
      </c>
      <c r="AB4" s="22">
        <v>122.5</v>
      </c>
      <c r="AC4" s="21">
        <f>27+2*8+3*7+3</f>
        <v>67</v>
      </c>
      <c r="AD4" s="22">
        <f>94.5+56+70+9.9</f>
        <v>230.4</v>
      </c>
      <c r="AE4" s="21"/>
      <c r="AF4" s="22"/>
      <c r="AG4" s="21">
        <v>34</v>
      </c>
      <c r="AH4" s="22">
        <v>119</v>
      </c>
      <c r="AI4" s="21">
        <f>23+2*9+3*6+3</f>
        <v>62</v>
      </c>
      <c r="AJ4" s="22">
        <f>80.5+63+60+9.9</f>
        <v>213.4</v>
      </c>
      <c r="AK4" s="21">
        <f>13+2*7+3*3+1</f>
        <v>37</v>
      </c>
      <c r="AL4" s="22">
        <f>45.5+49+30+3.3</f>
        <v>127.8</v>
      </c>
      <c r="AM4" s="21">
        <v>25</v>
      </c>
      <c r="AN4" s="22">
        <v>87.5</v>
      </c>
      <c r="AO4" s="21">
        <f>14+2*8+3*7+3</f>
        <v>54</v>
      </c>
      <c r="AP4" s="22">
        <f>49+56+70+9.9</f>
        <v>184.9</v>
      </c>
      <c r="AQ4" s="21">
        <v>17</v>
      </c>
      <c r="AR4" s="22">
        <v>59.5</v>
      </c>
      <c r="AS4" s="21">
        <v>12</v>
      </c>
      <c r="AT4" s="22">
        <v>52.5</v>
      </c>
      <c r="AU4" s="21"/>
      <c r="AV4" s="22"/>
      <c r="AW4"/>
      <c r="AX4" s="74">
        <f t="shared" ref="AX4:AX29" si="1">SUM(AV4,AT4,AR4,AP4,AN4,AL4,AJ4,AH4,AF4,AD4,AB4,Z4,X4,V4,T4,R4,P4,N4,L4,J4,H4,F4,D24)</f>
        <v>2889.8</v>
      </c>
      <c r="AY4" s="22">
        <f t="shared" si="0"/>
        <v>2739.1469194312799</v>
      </c>
    </row>
    <row r="5" spans="1:51" x14ac:dyDescent="0.25">
      <c r="A5" s="19" t="s">
        <v>27</v>
      </c>
      <c r="B5" s="20" t="s">
        <v>26</v>
      </c>
      <c r="C5" s="21">
        <v>27</v>
      </c>
      <c r="D5" s="22">
        <v>89.1</v>
      </c>
      <c r="E5" s="21">
        <f>17+2*10+3*9</f>
        <v>64</v>
      </c>
      <c r="F5" s="22">
        <f>56.1+66+85.5</f>
        <v>207.6</v>
      </c>
      <c r="G5" s="21"/>
      <c r="H5" s="22"/>
      <c r="I5" s="21">
        <v>27</v>
      </c>
      <c r="J5" s="22">
        <v>89.1</v>
      </c>
      <c r="K5" s="72">
        <f>7+2*2+3*10+1</f>
        <v>42</v>
      </c>
      <c r="L5" s="73">
        <f>23.1+13.2+95+3.1</f>
        <v>134.4</v>
      </c>
      <c r="M5" s="21">
        <v>20</v>
      </c>
      <c r="N5" s="22">
        <v>66</v>
      </c>
      <c r="O5" s="21">
        <f>13+2*3+3*11+2</f>
        <v>54</v>
      </c>
      <c r="P5" s="22">
        <f>42.9+19.8+104.5+6.2</f>
        <v>173.39999999999998</v>
      </c>
      <c r="Q5" s="21"/>
      <c r="R5" s="22"/>
      <c r="S5" s="21">
        <v>11</v>
      </c>
      <c r="T5" s="22">
        <f>75.9+30</f>
        <v>105.9</v>
      </c>
      <c r="U5" s="21">
        <f>24+2*7+3*3</f>
        <v>47</v>
      </c>
      <c r="V5" s="22">
        <f>79.2+46.2+28.5</f>
        <v>153.9</v>
      </c>
      <c r="W5" s="21"/>
      <c r="X5" s="22">
        <f>99+26</f>
        <v>125</v>
      </c>
      <c r="Y5" s="21">
        <f>10+2*2+3*8+4</f>
        <v>42</v>
      </c>
      <c r="Z5" s="22">
        <f>33+13.2+76+12.4+6.3</f>
        <v>140.9</v>
      </c>
      <c r="AA5" s="21"/>
      <c r="AB5" s="22">
        <v>69.3</v>
      </c>
      <c r="AC5" s="21">
        <f>22+2*7+3*7</f>
        <v>57</v>
      </c>
      <c r="AD5" s="22">
        <f>72.6+46.2+66.5</f>
        <v>185.3</v>
      </c>
      <c r="AE5" s="21"/>
      <c r="AF5" s="22"/>
      <c r="AG5" s="21">
        <v>21</v>
      </c>
      <c r="AH5" s="22">
        <v>69.3</v>
      </c>
      <c r="AI5" s="21">
        <f>12+2*4+3*7+1</f>
        <v>42</v>
      </c>
      <c r="AJ5" s="22">
        <f>39.6+26.4+66.5+3.1</f>
        <v>135.6</v>
      </c>
      <c r="AK5" s="21">
        <f>30+2*9+3*3</f>
        <v>57</v>
      </c>
      <c r="AL5" s="22">
        <f>99+59.4+28.5</f>
        <v>186.9</v>
      </c>
      <c r="AM5" s="21">
        <v>19</v>
      </c>
      <c r="AN5" s="22">
        <v>62.7</v>
      </c>
      <c r="AO5" s="21">
        <f>6+2*1+3*8</f>
        <v>32</v>
      </c>
      <c r="AP5" s="22">
        <f>19.8+6.6+76</f>
        <v>102.4</v>
      </c>
      <c r="AQ5" s="21">
        <v>13</v>
      </c>
      <c r="AR5" s="22">
        <v>42.9</v>
      </c>
      <c r="AS5" s="21">
        <v>9</v>
      </c>
      <c r="AT5" s="22">
        <v>36.299999999999997</v>
      </c>
      <c r="AU5" s="21"/>
      <c r="AV5" s="22"/>
      <c r="AW5"/>
      <c r="AX5" s="74">
        <f t="shared" si="1"/>
        <v>2086.9</v>
      </c>
      <c r="AY5" s="22">
        <f t="shared" si="0"/>
        <v>1978.1042654028438</v>
      </c>
    </row>
    <row r="6" spans="1:51" x14ac:dyDescent="0.25">
      <c r="A6" s="19" t="s">
        <v>28</v>
      </c>
      <c r="B6" s="20" t="s">
        <v>26</v>
      </c>
      <c r="C6" s="21"/>
      <c r="D6" s="22"/>
      <c r="E6" s="21">
        <v>27</v>
      </c>
      <c r="F6" s="22">
        <f>54+8.5</f>
        <v>62.5</v>
      </c>
      <c r="G6" s="21"/>
      <c r="H6" s="22">
        <v>36</v>
      </c>
      <c r="I6" s="21"/>
      <c r="J6" s="22"/>
      <c r="K6" s="85"/>
      <c r="L6" s="73">
        <v>120</v>
      </c>
      <c r="M6" s="21"/>
      <c r="N6" s="22"/>
      <c r="O6" s="21">
        <f>1+26+3</f>
        <v>30</v>
      </c>
      <c r="P6" s="22">
        <f>3.3+52+9</f>
        <v>64.3</v>
      </c>
      <c r="Q6" s="21"/>
      <c r="R6" s="22">
        <v>23</v>
      </c>
      <c r="S6" s="21"/>
      <c r="T6" s="22"/>
      <c r="U6" s="21"/>
      <c r="V6" s="22">
        <v>27</v>
      </c>
      <c r="W6" s="21"/>
      <c r="X6" s="22"/>
      <c r="Y6" s="21"/>
      <c r="Z6" s="22"/>
      <c r="AA6" s="21"/>
      <c r="AB6" s="22"/>
      <c r="AC6" s="21">
        <v>10</v>
      </c>
      <c r="AD6" s="22">
        <v>20</v>
      </c>
      <c r="AE6" s="21"/>
      <c r="AF6" s="22">
        <v>12</v>
      </c>
      <c r="AG6" s="21"/>
      <c r="AH6" s="22"/>
      <c r="AI6" s="24">
        <v>1</v>
      </c>
      <c r="AJ6" s="22">
        <v>2</v>
      </c>
      <c r="AK6" s="21">
        <v>2</v>
      </c>
      <c r="AL6" s="22">
        <v>4</v>
      </c>
      <c r="AM6" s="21"/>
      <c r="AN6" s="22"/>
      <c r="AO6" s="21">
        <v>9</v>
      </c>
      <c r="AP6" s="22">
        <v>29.7</v>
      </c>
      <c r="AQ6" s="21"/>
      <c r="AR6" s="22"/>
      <c r="AS6" s="21"/>
      <c r="AT6" s="22"/>
      <c r="AU6" s="21"/>
      <c r="AV6" s="22"/>
      <c r="AW6"/>
      <c r="AX6" s="74">
        <f t="shared" si="1"/>
        <v>400.5</v>
      </c>
      <c r="AY6" s="22">
        <f t="shared" si="0"/>
        <v>379.62085308056874</v>
      </c>
    </row>
    <row r="7" spans="1:51" hidden="1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85"/>
      <c r="L7" s="73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1"/>
        <v>0</v>
      </c>
      <c r="AY7" s="22">
        <f t="shared" si="0"/>
        <v>0</v>
      </c>
    </row>
    <row r="8" spans="1:51" hidden="1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1"/>
        <v>0</v>
      </c>
      <c r="AY8" s="22">
        <f t="shared" si="0"/>
        <v>0</v>
      </c>
    </row>
    <row r="9" spans="1:51" hidden="1" x14ac:dyDescent="0.25">
      <c r="A9" s="19" t="s">
        <v>104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1"/>
        <v>0</v>
      </c>
      <c r="AY9" s="22">
        <f t="shared" si="0"/>
        <v>0</v>
      </c>
    </row>
    <row r="10" spans="1:51" x14ac:dyDescent="0.25">
      <c r="A10" s="19" t="s">
        <v>31</v>
      </c>
      <c r="B10" s="20" t="s">
        <v>26</v>
      </c>
      <c r="C10" s="21">
        <v>8</v>
      </c>
      <c r="D10" s="22">
        <v>28</v>
      </c>
      <c r="E10" s="21">
        <v>12</v>
      </c>
      <c r="F10" s="22">
        <v>42</v>
      </c>
      <c r="G10" s="21"/>
      <c r="H10" s="22"/>
      <c r="I10" s="21"/>
      <c r="J10" s="22"/>
      <c r="K10" s="72">
        <v>16</v>
      </c>
      <c r="L10" s="73">
        <v>56</v>
      </c>
      <c r="M10" s="21">
        <v>4</v>
      </c>
      <c r="N10" s="22">
        <v>14</v>
      </c>
      <c r="O10" s="21">
        <v>14</v>
      </c>
      <c r="P10" s="22">
        <v>49</v>
      </c>
      <c r="Q10" s="21"/>
      <c r="R10" s="22"/>
      <c r="S10" s="21"/>
      <c r="T10" s="22"/>
      <c r="U10" s="21">
        <v>9</v>
      </c>
      <c r="V10" s="22">
        <v>31.5</v>
      </c>
      <c r="W10" s="21"/>
      <c r="X10" s="22">
        <v>45.5</v>
      </c>
      <c r="Y10" s="21">
        <v>7</v>
      </c>
      <c r="Z10" s="22">
        <v>24.5</v>
      </c>
      <c r="AA10" s="21"/>
      <c r="AB10" s="22"/>
      <c r="AC10" s="21">
        <v>6</v>
      </c>
      <c r="AD10" s="22">
        <v>21</v>
      </c>
      <c r="AE10" s="21"/>
      <c r="AF10" s="22"/>
      <c r="AG10" s="21">
        <v>11</v>
      </c>
      <c r="AH10" s="22">
        <v>38.5</v>
      </c>
      <c r="AI10" s="21">
        <v>27</v>
      </c>
      <c r="AJ10" s="22">
        <v>94.5</v>
      </c>
      <c r="AK10" s="21">
        <v>10</v>
      </c>
      <c r="AL10" s="22">
        <v>35</v>
      </c>
      <c r="AM10" s="21">
        <v>5</v>
      </c>
      <c r="AN10" s="22">
        <v>17.5</v>
      </c>
      <c r="AO10" s="21">
        <v>19</v>
      </c>
      <c r="AP10" s="22">
        <v>66.5</v>
      </c>
      <c r="AQ10" s="21"/>
      <c r="AR10" s="22">
        <v>7</v>
      </c>
      <c r="AS10" s="21"/>
      <c r="AT10" s="22"/>
      <c r="AU10" s="21"/>
      <c r="AV10" s="22"/>
      <c r="AW10"/>
      <c r="AX10" s="74">
        <f t="shared" si="1"/>
        <v>635.24</v>
      </c>
      <c r="AY10" s="22">
        <f t="shared" si="0"/>
        <v>602.12322274881524</v>
      </c>
    </row>
    <row r="11" spans="1:51" x14ac:dyDescent="0.25">
      <c r="A11" s="19" t="s">
        <v>103</v>
      </c>
      <c r="B11" s="20" t="s">
        <v>26</v>
      </c>
      <c r="C11" s="21">
        <v>11</v>
      </c>
      <c r="D11" s="22">
        <v>12.8</v>
      </c>
      <c r="E11" s="21"/>
      <c r="F11" s="22"/>
      <c r="G11" s="21"/>
      <c r="H11" s="22"/>
      <c r="I11" s="21"/>
      <c r="J11" s="22"/>
      <c r="K11" s="85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1"/>
        <v>5.1100000000000003</v>
      </c>
      <c r="AY11" s="22">
        <f t="shared" si="0"/>
        <v>4.8436018957345981</v>
      </c>
    </row>
    <row r="12" spans="1:51" hidden="1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5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1"/>
        <v>0</v>
      </c>
      <c r="AY12" s="22">
        <f t="shared" si="0"/>
        <v>0</v>
      </c>
    </row>
    <row r="13" spans="1:51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5"/>
      <c r="R13" s="22"/>
      <c r="S13" s="21"/>
      <c r="T13" s="22"/>
      <c r="U13" s="25"/>
      <c r="V13" s="22"/>
      <c r="W13" s="21"/>
      <c r="X13" s="22"/>
      <c r="Y13" s="21"/>
      <c r="Z13" s="22"/>
      <c r="AA13" s="25"/>
      <c r="AB13" s="22"/>
      <c r="AC13" s="21"/>
      <c r="AD13" s="22"/>
      <c r="AE13" s="21"/>
      <c r="AF13" s="22"/>
      <c r="AG13" s="25"/>
      <c r="AH13" s="22"/>
      <c r="AI13" s="21"/>
      <c r="AJ13" s="22"/>
      <c r="AK13" s="25"/>
      <c r="AL13" s="22"/>
      <c r="AM13" s="21"/>
      <c r="AN13" s="22"/>
      <c r="AO13" s="25"/>
      <c r="AP13" s="22"/>
      <c r="AQ13" s="21"/>
      <c r="AR13" s="22"/>
      <c r="AS13" s="21"/>
      <c r="AT13" s="22"/>
      <c r="AU13" s="25"/>
      <c r="AV13" s="22"/>
      <c r="AW13"/>
      <c r="AX13" s="74">
        <f t="shared" si="1"/>
        <v>5.93</v>
      </c>
      <c r="AY13" s="22">
        <f t="shared" si="0"/>
        <v>5.62085308056872</v>
      </c>
    </row>
    <row r="14" spans="1:51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85"/>
      <c r="L14" s="73"/>
      <c r="M14" s="21"/>
      <c r="N14" s="22"/>
      <c r="O14" s="21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1"/>
        <v>70.2</v>
      </c>
      <c r="AY14" s="22">
        <f t="shared" si="0"/>
        <v>66.540284360189574</v>
      </c>
    </row>
    <row r="15" spans="1:51" x14ac:dyDescent="0.25">
      <c r="A15" s="19" t="s">
        <v>33</v>
      </c>
      <c r="B15" s="20" t="s">
        <v>34</v>
      </c>
      <c r="C15" s="25"/>
      <c r="D15" s="22"/>
      <c r="E15" s="25"/>
      <c r="F15" s="22"/>
      <c r="G15" s="25"/>
      <c r="H15" s="22"/>
      <c r="I15" s="25"/>
      <c r="J15" s="22"/>
      <c r="K15" s="85"/>
      <c r="L15" s="73"/>
      <c r="M15" s="25"/>
      <c r="N15" s="22"/>
      <c r="O15" s="25"/>
      <c r="P15" s="22"/>
      <c r="Q15" s="25"/>
      <c r="R15" s="22"/>
      <c r="S15" s="25"/>
      <c r="T15" s="22"/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>
        <v>16.5</v>
      </c>
      <c r="AI15" s="25"/>
      <c r="AJ15" s="22"/>
      <c r="AK15" s="25"/>
      <c r="AL15" s="22"/>
      <c r="AM15" s="25"/>
      <c r="AN15" s="22"/>
      <c r="AO15" s="25"/>
      <c r="AP15" s="22"/>
      <c r="AQ15" s="25"/>
      <c r="AR15" s="22">
        <v>18.36</v>
      </c>
      <c r="AS15" s="25"/>
      <c r="AT15" s="22">
        <v>3.98</v>
      </c>
      <c r="AU15" s="25"/>
      <c r="AV15" s="22"/>
      <c r="AW15"/>
      <c r="AX15" s="74">
        <f t="shared" si="1"/>
        <v>38.840000000000003</v>
      </c>
      <c r="AY15" s="22">
        <f t="shared" si="0"/>
        <v>36.815165876777257</v>
      </c>
    </row>
    <row r="16" spans="1:51" hidden="1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1"/>
        <v>0</v>
      </c>
      <c r="AY16" s="22">
        <f t="shared" si="0"/>
        <v>0</v>
      </c>
    </row>
    <row r="17" spans="1:51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>
        <v>2.68</v>
      </c>
      <c r="AS17" s="25"/>
      <c r="AT17" s="22">
        <v>4.95</v>
      </c>
      <c r="AU17" s="25"/>
      <c r="AV17" s="22"/>
      <c r="AW17"/>
      <c r="AX17" s="74">
        <f t="shared" si="1"/>
        <v>7.6300000000000008</v>
      </c>
      <c r="AY17" s="22">
        <f t="shared" si="0"/>
        <v>7.2322274881516595</v>
      </c>
    </row>
    <row r="18" spans="1:51" x14ac:dyDescent="0.25">
      <c r="A18" s="19" t="s">
        <v>37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>
        <v>3.93</v>
      </c>
      <c r="Y18" s="25"/>
      <c r="Z18" s="22"/>
      <c r="AA18" s="25"/>
      <c r="AB18" s="22">
        <f>12.12+10</f>
        <v>22.119999999999997</v>
      </c>
      <c r="AC18" s="25">
        <v>13.86</v>
      </c>
      <c r="AD18" s="22">
        <f>43.5+37.7</f>
        <v>81.2</v>
      </c>
      <c r="AE18" s="25"/>
      <c r="AF18" s="22"/>
      <c r="AG18" s="25"/>
      <c r="AH18" s="22">
        <f>13.94+10</f>
        <v>23.939999999999998</v>
      </c>
      <c r="AI18" s="25">
        <v>14.27</v>
      </c>
      <c r="AJ18" s="22">
        <f>55.66+12</f>
        <v>67.66</v>
      </c>
      <c r="AK18" s="25">
        <v>22.315000000000001</v>
      </c>
      <c r="AL18" s="22">
        <v>87.01</v>
      </c>
      <c r="AM18" s="25"/>
      <c r="AN18" s="22">
        <v>20.72</v>
      </c>
      <c r="AO18" s="25">
        <v>15.52</v>
      </c>
      <c r="AP18" s="22">
        <v>60.54</v>
      </c>
      <c r="AQ18" s="25"/>
      <c r="AR18" s="22">
        <v>8.57</v>
      </c>
      <c r="AS18" s="25"/>
      <c r="AT18" s="22">
        <v>11.38</v>
      </c>
      <c r="AU18" s="25"/>
      <c r="AV18" s="22"/>
      <c r="AW18"/>
      <c r="AX18" s="74">
        <f t="shared" si="1"/>
        <v>397.87000000000006</v>
      </c>
      <c r="AY18" s="22">
        <f t="shared" si="0"/>
        <v>377.12796208530813</v>
      </c>
    </row>
    <row r="19" spans="1:51" x14ac:dyDescent="0.25">
      <c r="A19" s="19" t="s">
        <v>38</v>
      </c>
      <c r="B19" s="20" t="s">
        <v>34</v>
      </c>
      <c r="C19" s="25"/>
      <c r="D19" s="22">
        <v>17.61</v>
      </c>
      <c r="E19" s="25">
        <v>17.96</v>
      </c>
      <c r="F19" s="22">
        <v>62.87</v>
      </c>
      <c r="G19" s="25"/>
      <c r="H19" s="22">
        <v>7</v>
      </c>
      <c r="I19" s="25"/>
      <c r="J19" s="22">
        <v>49.96</v>
      </c>
      <c r="K19" s="85">
        <v>25.945</v>
      </c>
      <c r="L19" s="73">
        <v>90.86</v>
      </c>
      <c r="M19" s="25"/>
      <c r="N19" s="22">
        <v>15.72</v>
      </c>
      <c r="O19" s="25">
        <v>36.200000000000003</v>
      </c>
      <c r="P19" s="22">
        <v>140.18</v>
      </c>
      <c r="Q19" s="25"/>
      <c r="R19" s="22">
        <v>20.100000000000001</v>
      </c>
      <c r="S19" s="25"/>
      <c r="T19" s="22">
        <v>66</v>
      </c>
      <c r="U19" s="25">
        <v>36.17</v>
      </c>
      <c r="V19" s="22">
        <v>141.12</v>
      </c>
      <c r="W19" s="25"/>
      <c r="X19" s="22">
        <v>50.04</v>
      </c>
      <c r="Y19" s="25">
        <f>48.995+15</f>
        <v>63.994999999999997</v>
      </c>
      <c r="Z19" s="22">
        <f>191.12+45+24</f>
        <v>260.12</v>
      </c>
      <c r="AA19" s="25"/>
      <c r="AB19" s="22">
        <f>83.16+10</f>
        <v>93.16</v>
      </c>
      <c r="AC19" s="25">
        <v>58.01</v>
      </c>
      <c r="AD19" s="22">
        <v>226.29</v>
      </c>
      <c r="AE19" s="25"/>
      <c r="AF19" s="22">
        <v>15</v>
      </c>
      <c r="AG19" s="25"/>
      <c r="AH19" s="22">
        <f>25.31+10</f>
        <v>35.31</v>
      </c>
      <c r="AI19" s="25">
        <v>35.645000000000003</v>
      </c>
      <c r="AJ19" s="22">
        <v>139.02000000000001</v>
      </c>
      <c r="AK19" s="25">
        <v>29.754999999999999</v>
      </c>
      <c r="AL19" s="22">
        <f>116.05+21.5</f>
        <v>137.55000000000001</v>
      </c>
      <c r="AM19" s="25"/>
      <c r="AN19" s="22">
        <v>42.15</v>
      </c>
      <c r="AO19" s="25">
        <v>36.435000000000002</v>
      </c>
      <c r="AP19" s="22">
        <v>142.11000000000001</v>
      </c>
      <c r="AQ19" s="25"/>
      <c r="AR19" s="22">
        <v>14.19</v>
      </c>
      <c r="AS19" s="25"/>
      <c r="AT19" s="22">
        <v>32.04</v>
      </c>
      <c r="AU19" s="25"/>
      <c r="AV19" s="22"/>
      <c r="AW19"/>
      <c r="AX19" s="74">
        <f t="shared" si="1"/>
        <v>1780.7899999999997</v>
      </c>
      <c r="AY19" s="22">
        <f t="shared" si="0"/>
        <v>1687.9526066350709</v>
      </c>
    </row>
    <row r="20" spans="1:51" x14ac:dyDescent="0.25">
      <c r="A20" s="19" t="s">
        <v>39</v>
      </c>
      <c r="B20" s="20" t="s">
        <v>34</v>
      </c>
      <c r="C20"/>
      <c r="D20" s="22">
        <v>42.52</v>
      </c>
      <c r="E20" s="1">
        <v>15.965</v>
      </c>
      <c r="F20" s="22">
        <v>94.98</v>
      </c>
      <c r="G20"/>
      <c r="H20" s="22"/>
      <c r="I20"/>
      <c r="J20" s="22">
        <v>89.43</v>
      </c>
      <c r="K20" s="85">
        <v>38.905000000000001</v>
      </c>
      <c r="L20" s="22">
        <v>193.5</v>
      </c>
      <c r="M20"/>
      <c r="N20" s="22">
        <v>39.869999999999997</v>
      </c>
      <c r="O20" s="1">
        <v>34.984999999999999</v>
      </c>
      <c r="P20" s="22">
        <v>173.17</v>
      </c>
      <c r="Q20"/>
      <c r="R20" s="22">
        <v>19.5</v>
      </c>
      <c r="S20"/>
      <c r="T20" s="22">
        <v>95.03</v>
      </c>
      <c r="U20" s="1">
        <v>30.64</v>
      </c>
      <c r="V20" s="22">
        <f>151.68+4</f>
        <v>155.68</v>
      </c>
      <c r="W20"/>
      <c r="X20" s="22">
        <v>63.26</v>
      </c>
      <c r="Y20" s="1">
        <v>43.36</v>
      </c>
      <c r="Z20" s="22">
        <v>214.62</v>
      </c>
      <c r="AA20"/>
      <c r="AB20" s="22">
        <f>93.69+20</f>
        <v>113.69</v>
      </c>
      <c r="AC20" s="1">
        <v>42.84</v>
      </c>
      <c r="AD20" s="22">
        <v>212.06</v>
      </c>
      <c r="AE20"/>
      <c r="AF20" s="22">
        <v>13</v>
      </c>
      <c r="AG20"/>
      <c r="AH20" s="22">
        <f>45.92+10</f>
        <v>55.92</v>
      </c>
      <c r="AI20" s="1">
        <v>23.5</v>
      </c>
      <c r="AJ20" s="22">
        <v>116.32</v>
      </c>
      <c r="AK20" s="1">
        <v>19.87</v>
      </c>
      <c r="AL20" s="22">
        <v>98.35</v>
      </c>
      <c r="AM20"/>
      <c r="AN20" s="22">
        <f>124.84+11.8</f>
        <v>136.64000000000001</v>
      </c>
      <c r="AO20" s="1">
        <v>25.32</v>
      </c>
      <c r="AP20" s="22">
        <v>125.32</v>
      </c>
      <c r="AQ20"/>
      <c r="AR20" s="22">
        <f>27.37+4</f>
        <v>31.37</v>
      </c>
      <c r="AS20"/>
      <c r="AT20" s="22">
        <v>30.9</v>
      </c>
      <c r="AU20"/>
      <c r="AV20" s="22"/>
      <c r="AW20"/>
      <c r="AX20" s="74">
        <f t="shared" si="1"/>
        <v>2073.31</v>
      </c>
      <c r="AY20" s="22">
        <f t="shared" si="0"/>
        <v>1965.2227488151659</v>
      </c>
    </row>
    <row r="21" spans="1:51" x14ac:dyDescent="0.25">
      <c r="A21" s="19" t="s">
        <v>40</v>
      </c>
      <c r="B21" s="20" t="s">
        <v>34</v>
      </c>
      <c r="C21" s="25"/>
      <c r="D21" s="22">
        <v>28.78</v>
      </c>
      <c r="E21" s="25">
        <v>16.695</v>
      </c>
      <c r="F21" s="22">
        <v>77.69</v>
      </c>
      <c r="G21" s="25"/>
      <c r="H21" s="22">
        <v>7.4</v>
      </c>
      <c r="I21" s="25"/>
      <c r="J21" s="22">
        <f>82.42+7</f>
        <v>89.42</v>
      </c>
      <c r="K21" s="85"/>
      <c r="L21" s="73"/>
      <c r="M21" s="25"/>
      <c r="N21" s="22">
        <v>11.05</v>
      </c>
      <c r="O21" s="25"/>
      <c r="P21" s="22"/>
      <c r="Q21" s="25"/>
      <c r="R21" s="22"/>
      <c r="S21" s="25"/>
      <c r="T21" s="22"/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25">
        <v>13.925000000000001</v>
      </c>
      <c r="AP21" s="22">
        <v>68.930000000000007</v>
      </c>
      <c r="AQ21" s="25"/>
      <c r="AR21" s="22">
        <v>10.52</v>
      </c>
      <c r="AS21" s="25"/>
      <c r="AT21" s="22">
        <v>12.48</v>
      </c>
      <c r="AU21" s="25"/>
      <c r="AV21" s="22"/>
      <c r="AW21"/>
      <c r="AX21" s="74">
        <f t="shared" si="1"/>
        <v>277.49</v>
      </c>
      <c r="AY21" s="22">
        <f t="shared" si="0"/>
        <v>263.0236966824645</v>
      </c>
    </row>
    <row r="22" spans="1:51" x14ac:dyDescent="0.25">
      <c r="A22" s="19" t="s">
        <v>30</v>
      </c>
      <c r="B22" s="20" t="s">
        <v>26</v>
      </c>
      <c r="C22" s="21">
        <v>5</v>
      </c>
      <c r="D22" s="22">
        <v>14.5</v>
      </c>
      <c r="E22" s="21">
        <v>19</v>
      </c>
      <c r="F22" s="22">
        <v>55.1</v>
      </c>
      <c r="G22" s="21"/>
      <c r="H22" s="22">
        <v>8.4</v>
      </c>
      <c r="I22" s="21">
        <v>9</v>
      </c>
      <c r="J22" s="22">
        <v>26.1</v>
      </c>
      <c r="K22" s="72">
        <v>16</v>
      </c>
      <c r="L22" s="73">
        <v>46.4</v>
      </c>
      <c r="M22" s="21">
        <v>6</v>
      </c>
      <c r="N22" s="22">
        <v>17.399999999999999</v>
      </c>
      <c r="O22" s="21">
        <v>11</v>
      </c>
      <c r="P22" s="22">
        <v>31.9</v>
      </c>
      <c r="Q22" s="21"/>
      <c r="R22" s="22"/>
      <c r="S22" s="21"/>
      <c r="T22" s="22">
        <v>23.2</v>
      </c>
      <c r="U22" s="21">
        <v>22</v>
      </c>
      <c r="V22" s="22">
        <v>63.8</v>
      </c>
      <c r="W22" s="21"/>
      <c r="X22" s="22">
        <v>8.6999999999999993</v>
      </c>
      <c r="Y22" s="21">
        <v>9</v>
      </c>
      <c r="Z22" s="22">
        <v>26.1</v>
      </c>
      <c r="AA22" s="21"/>
      <c r="AB22" s="22">
        <v>20.3</v>
      </c>
      <c r="AC22" s="21">
        <v>15</v>
      </c>
      <c r="AD22" s="22">
        <v>43.5</v>
      </c>
      <c r="AE22" s="21"/>
      <c r="AF22" s="22"/>
      <c r="AG22" s="21">
        <v>4</v>
      </c>
      <c r="AH22" s="22">
        <v>11.6</v>
      </c>
      <c r="AI22" s="21">
        <v>8</v>
      </c>
      <c r="AJ22" s="22">
        <v>23.2</v>
      </c>
      <c r="AK22" s="21">
        <v>22</v>
      </c>
      <c r="AL22" s="22">
        <v>63.8</v>
      </c>
      <c r="AM22" s="21">
        <v>8</v>
      </c>
      <c r="AN22" s="22">
        <v>23.2</v>
      </c>
      <c r="AO22" s="21">
        <f>8+2*1</f>
        <v>10</v>
      </c>
      <c r="AP22" s="22">
        <f>23.2+7</f>
        <v>30.2</v>
      </c>
      <c r="AQ22" s="21">
        <v>2</v>
      </c>
      <c r="AR22" s="22">
        <v>5.8</v>
      </c>
      <c r="AS22" s="21">
        <v>7</v>
      </c>
      <c r="AT22" s="22">
        <v>20.3</v>
      </c>
      <c r="AU22" s="21"/>
      <c r="AV22" s="22"/>
      <c r="AW22"/>
      <c r="AX22" s="74">
        <f t="shared" si="1"/>
        <v>548.99999999999989</v>
      </c>
      <c r="AY22" s="22">
        <f t="shared" si="0"/>
        <v>520.37914691943115</v>
      </c>
    </row>
    <row r="23" spans="1:51" x14ac:dyDescent="0.25">
      <c r="A23" s="19" t="s">
        <v>105</v>
      </c>
      <c r="B23" s="20" t="s">
        <v>26</v>
      </c>
      <c r="C23" s="21"/>
      <c r="D23" s="22"/>
      <c r="E23" s="21">
        <v>3</v>
      </c>
      <c r="F23" s="22">
        <v>8.6999999999999993</v>
      </c>
      <c r="G23" s="21"/>
      <c r="H23" s="22"/>
      <c r="I23" s="21">
        <v>1</v>
      </c>
      <c r="J23" s="22">
        <v>2</v>
      </c>
      <c r="K23" s="85"/>
      <c r="L23" s="73"/>
      <c r="M23" s="21">
        <v>4</v>
      </c>
      <c r="N23" s="22">
        <v>10</v>
      </c>
      <c r="O23" s="21">
        <v>8</v>
      </c>
      <c r="P23" s="22">
        <v>23.2</v>
      </c>
      <c r="Q23" s="21"/>
      <c r="R23" s="22"/>
      <c r="S23" s="21">
        <v>5</v>
      </c>
      <c r="T23" s="22">
        <v>12.5</v>
      </c>
      <c r="U23" s="21">
        <v>5</v>
      </c>
      <c r="V23" s="22">
        <v>14.5</v>
      </c>
      <c r="W23" s="21"/>
      <c r="X23" s="22"/>
      <c r="Y23" s="21">
        <v>5</v>
      </c>
      <c r="Z23" s="22">
        <v>14.5</v>
      </c>
      <c r="AA23" s="21">
        <v>4</v>
      </c>
      <c r="AB23" s="22">
        <v>10</v>
      </c>
      <c r="AC23" s="21">
        <v>7</v>
      </c>
      <c r="AD23" s="22">
        <v>20.3</v>
      </c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1"/>
        <v>115.7</v>
      </c>
      <c r="AY23" s="22">
        <f t="shared" si="0"/>
        <v>109.66824644549764</v>
      </c>
    </row>
    <row r="24" spans="1:51" x14ac:dyDescent="0.25">
      <c r="A24" s="19" t="s">
        <v>41</v>
      </c>
      <c r="B24" s="20" t="s">
        <v>34</v>
      </c>
      <c r="C24" s="25"/>
      <c r="D24" s="22">
        <v>12.2</v>
      </c>
      <c r="E24" s="25">
        <v>7.4749999999999996</v>
      </c>
      <c r="F24" s="22">
        <v>33.67</v>
      </c>
      <c r="G24" s="25"/>
      <c r="H24" s="22"/>
      <c r="I24" s="25"/>
      <c r="J24" s="22">
        <v>32.81</v>
      </c>
      <c r="K24" s="85">
        <v>13.03</v>
      </c>
      <c r="L24" s="73">
        <v>71.7</v>
      </c>
      <c r="M24" s="25"/>
      <c r="N24" s="22">
        <v>25.26</v>
      </c>
      <c r="O24" s="25">
        <v>19.399999999999999</v>
      </c>
      <c r="P24" s="22">
        <v>113.64</v>
      </c>
      <c r="Q24" s="25"/>
      <c r="R24" s="22"/>
      <c r="S24" s="25"/>
      <c r="T24" s="22">
        <v>44.33</v>
      </c>
      <c r="U24" s="25">
        <v>36.005000000000003</v>
      </c>
      <c r="V24" s="22">
        <f>212.44+5</f>
        <v>217.44</v>
      </c>
      <c r="W24" s="25"/>
      <c r="X24" s="22">
        <v>17.3</v>
      </c>
      <c r="Y24" s="25">
        <v>19.420000000000002</v>
      </c>
      <c r="Z24" s="22">
        <f>114.6+20</f>
        <v>134.6</v>
      </c>
      <c r="AA24" s="25"/>
      <c r="AB24" s="22">
        <f>42.1+12</f>
        <v>54.1</v>
      </c>
      <c r="AC24" s="25">
        <v>25.05</v>
      </c>
      <c r="AD24" s="22">
        <v>147.82</v>
      </c>
      <c r="AE24" s="25"/>
      <c r="AF24" s="22">
        <v>12</v>
      </c>
      <c r="AG24" s="25"/>
      <c r="AH24" s="22">
        <v>17.55</v>
      </c>
      <c r="AI24" s="25">
        <v>10.35</v>
      </c>
      <c r="AJ24" s="22">
        <v>61.07</v>
      </c>
      <c r="AK24" s="25">
        <v>18.78</v>
      </c>
      <c r="AL24" s="22">
        <v>110.78</v>
      </c>
      <c r="AM24" s="25"/>
      <c r="AN24" s="22">
        <v>39.44</v>
      </c>
      <c r="AO24" s="25">
        <v>4.6100000000000003</v>
      </c>
      <c r="AP24" s="22">
        <f>27.2+35</f>
        <v>62.2</v>
      </c>
      <c r="AQ24" s="25"/>
      <c r="AR24" s="22">
        <v>7.97</v>
      </c>
      <c r="AS24" s="25"/>
      <c r="AT24" s="22"/>
      <c r="AU24" s="25"/>
      <c r="AV24" s="22"/>
      <c r="AW24"/>
      <c r="AX24" s="74">
        <f t="shared" si="1"/>
        <v>1203.68</v>
      </c>
      <c r="AY24" s="22">
        <f t="shared" si="0"/>
        <v>1140.9289099526068</v>
      </c>
    </row>
    <row r="25" spans="1:51" x14ac:dyDescent="0.25">
      <c r="A25" s="19" t="s">
        <v>42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>
        <v>16.809999999999999</v>
      </c>
      <c r="AD25" s="22">
        <v>48.25</v>
      </c>
      <c r="AE25" s="25"/>
      <c r="AF25" s="22">
        <v>5</v>
      </c>
      <c r="AG25" s="25"/>
      <c r="AH25" s="22">
        <v>12.09</v>
      </c>
      <c r="AI25" s="25">
        <v>15.195</v>
      </c>
      <c r="AJ25" s="22">
        <v>44.05</v>
      </c>
      <c r="AK25" s="25">
        <v>11.95</v>
      </c>
      <c r="AL25" s="22">
        <v>34.67</v>
      </c>
      <c r="AM25" s="25"/>
      <c r="AN25" s="22">
        <v>6.63</v>
      </c>
      <c r="AO25" s="25">
        <v>21.425000000000001</v>
      </c>
      <c r="AP25" s="22">
        <v>62.14</v>
      </c>
      <c r="AQ25" s="25"/>
      <c r="AR25" s="22">
        <v>7.08</v>
      </c>
      <c r="AS25" s="25"/>
      <c r="AT25" s="22"/>
      <c r="AU25" s="25"/>
      <c r="AV25" s="22"/>
      <c r="AW25"/>
      <c r="AX25" s="74">
        <f t="shared" si="1"/>
        <v>219.91</v>
      </c>
      <c r="AY25" s="22">
        <f t="shared" si="0"/>
        <v>208.44549763033177</v>
      </c>
    </row>
    <row r="26" spans="1:51" hidden="1" x14ac:dyDescent="0.25">
      <c r="A26" s="19" t="s">
        <v>43</v>
      </c>
      <c r="B26" s="20" t="s">
        <v>34</v>
      </c>
      <c r="C26" s="25"/>
      <c r="D26" s="22"/>
      <c r="E26" s="25"/>
      <c r="F26" s="22"/>
      <c r="G26" s="25"/>
      <c r="H26" s="22"/>
      <c r="I26" s="25"/>
      <c r="J26" s="22"/>
      <c r="K26" s="85"/>
      <c r="L26" s="73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1"/>
        <v>0</v>
      </c>
      <c r="AY26" s="22">
        <f t="shared" si="0"/>
        <v>0</v>
      </c>
    </row>
    <row r="27" spans="1:5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1"/>
        <v>42.08</v>
      </c>
      <c r="AY27" s="22">
        <f t="shared" si="0"/>
        <v>39.886255924170619</v>
      </c>
    </row>
    <row r="28" spans="1:51" x14ac:dyDescent="0.25">
      <c r="A28" s="19" t="s">
        <v>45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>
        <v>1.5</v>
      </c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>
        <v>3.6</v>
      </c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1"/>
        <v>8.18</v>
      </c>
      <c r="AY28" s="22">
        <f t="shared" si="0"/>
        <v>7.7535545023696688</v>
      </c>
    </row>
    <row r="29" spans="1:51" x14ac:dyDescent="0.25">
      <c r="A29" s="19" t="s">
        <v>132</v>
      </c>
      <c r="B29" s="20" t="s">
        <v>34</v>
      </c>
      <c r="C29" s="25"/>
      <c r="D29" s="22"/>
      <c r="E29" s="25">
        <v>1.26</v>
      </c>
      <c r="F29" s="22">
        <v>2.52</v>
      </c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>
        <v>4.5250000000000004</v>
      </c>
      <c r="V29" s="22">
        <v>9.0500000000000007</v>
      </c>
      <c r="W29" s="25"/>
      <c r="X29" s="22"/>
      <c r="Y29" s="25"/>
      <c r="Z29" s="22"/>
      <c r="AA29" s="25"/>
      <c r="AB29" s="22"/>
      <c r="AC29" s="25">
        <v>1.2050000000000001</v>
      </c>
      <c r="AD29" s="22">
        <v>2.41</v>
      </c>
      <c r="AE29" s="25"/>
      <c r="AF29" s="22"/>
      <c r="AG29" s="25"/>
      <c r="AH29" s="22"/>
      <c r="AI29" s="25"/>
      <c r="AJ29" s="22"/>
      <c r="AK29" s="25">
        <v>4.2850000000000001</v>
      </c>
      <c r="AL29" s="22">
        <v>8.57</v>
      </c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1"/>
        <v>22.55</v>
      </c>
      <c r="AY29" s="22">
        <f t="shared" si="0"/>
        <v>21.374407582938389</v>
      </c>
    </row>
    <row r="30" spans="1:51" s="18" customFormat="1" x14ac:dyDescent="0.25">
      <c r="A30" s="12" t="s">
        <v>46</v>
      </c>
      <c r="B30" s="13"/>
      <c r="C30" s="14"/>
      <c r="D30" s="15">
        <f>SUM(D31:D46)</f>
        <v>92.740000000000009</v>
      </c>
      <c r="E30" s="14"/>
      <c r="F30" s="15">
        <f>SUM(F31:F46)</f>
        <v>3.37</v>
      </c>
      <c r="G30" s="14"/>
      <c r="H30" s="15">
        <f>SUM(H31:H46)</f>
        <v>0</v>
      </c>
      <c r="I30" s="14"/>
      <c r="J30" s="15">
        <f>SUM(J31:J46)</f>
        <v>134.29</v>
      </c>
      <c r="K30" s="70"/>
      <c r="L30" s="70">
        <f>SUM(L31:L46)</f>
        <v>5.07</v>
      </c>
      <c r="M30" s="14"/>
      <c r="N30" s="15">
        <f>SUM(N31:N46)</f>
        <v>76.459999999999994</v>
      </c>
      <c r="O30" s="14"/>
      <c r="P30" s="15">
        <f>SUM(P31:P46)</f>
        <v>0</v>
      </c>
      <c r="Q30" s="14"/>
      <c r="R30" s="15">
        <f>SUM(R31:R46)</f>
        <v>0</v>
      </c>
      <c r="S30" s="14"/>
      <c r="T30" s="15">
        <f>SUM(T31:T46)</f>
        <v>192.25</v>
      </c>
      <c r="U30" s="14"/>
      <c r="V30" s="15">
        <f>SUM(V31:V46)</f>
        <v>4.01</v>
      </c>
      <c r="W30" s="14"/>
      <c r="X30" s="15">
        <f>SUM(X31:X46)</f>
        <v>92.850000000000009</v>
      </c>
      <c r="Y30" s="14"/>
      <c r="Z30" s="15">
        <f>SUM(Z31:Z46)</f>
        <v>0</v>
      </c>
      <c r="AA30" s="14"/>
      <c r="AB30" s="15">
        <f>SUM(AB31:AB46)</f>
        <v>169.77999999999997</v>
      </c>
      <c r="AC30" s="14"/>
      <c r="AD30" s="15">
        <f>SUM(AD31:AD46)</f>
        <v>4.9000000000000004</v>
      </c>
      <c r="AE30" s="14"/>
      <c r="AF30" s="15">
        <f>SUM(AF31:AF46)</f>
        <v>0</v>
      </c>
      <c r="AG30" s="14"/>
      <c r="AH30" s="15">
        <f>SUM(AH31:AH46)</f>
        <v>55.48</v>
      </c>
      <c r="AI30" s="14"/>
      <c r="AJ30" s="15">
        <f>SUM(AJ31:AJ46)</f>
        <v>5.84</v>
      </c>
      <c r="AK30" s="14"/>
      <c r="AL30" s="15">
        <f>SUM(AL31:AL46)</f>
        <v>7.23</v>
      </c>
      <c r="AM30" s="14"/>
      <c r="AN30" s="15">
        <f>SUM(AN31:AN46)</f>
        <v>127.59</v>
      </c>
      <c r="AO30" s="14"/>
      <c r="AP30" s="15">
        <f>SUM(AP31:AP46)</f>
        <v>0</v>
      </c>
      <c r="AQ30" s="14"/>
      <c r="AR30" s="15">
        <f>SUM(AR31:AR46)</f>
        <v>100.01</v>
      </c>
      <c r="AS30" s="14"/>
      <c r="AT30" s="15">
        <f>SUM(AT31:AT46)</f>
        <v>53.75</v>
      </c>
      <c r="AU30" s="14"/>
      <c r="AV30" s="15">
        <f>SUM(AV31:AV46)</f>
        <v>0</v>
      </c>
      <c r="AX30" s="71">
        <f t="shared" ref="AX30:AX56" si="2">SUM(AV30,AT30,AR30,AP30,AN30,AL30,AJ30,AH30,AF30,AD30,AB30,Z30,X30,V30,T30,R30,P30,N30,L30,J30,H30,F30,D30)</f>
        <v>1125.6199999999999</v>
      </c>
      <c r="AY30" s="15">
        <f t="shared" si="0"/>
        <v>1066.9383886255923</v>
      </c>
    </row>
    <row r="31" spans="1:51" x14ac:dyDescent="0.25">
      <c r="A31" s="19" t="s">
        <v>47</v>
      </c>
      <c r="B31" s="20" t="s">
        <v>34</v>
      </c>
      <c r="C31" s="25"/>
      <c r="D31" s="22">
        <v>5.1100000000000003</v>
      </c>
      <c r="E31" s="25"/>
      <c r="F31" s="22"/>
      <c r="G31" s="25"/>
      <c r="H31" s="22"/>
      <c r="I31" s="25"/>
      <c r="J31" s="22">
        <v>8.5</v>
      </c>
      <c r="K31" s="25"/>
      <c r="L31" s="73"/>
      <c r="M31" s="25"/>
      <c r="N31" s="22">
        <v>11.22</v>
      </c>
      <c r="O31" s="25"/>
      <c r="P31" s="22"/>
      <c r="Q31" s="25"/>
      <c r="R31" s="22"/>
      <c r="S31" s="21"/>
      <c r="T31" s="22">
        <v>11.14</v>
      </c>
      <c r="U31" s="25"/>
      <c r="V31" s="22"/>
      <c r="W31" s="25"/>
      <c r="X31" s="22">
        <v>2.76</v>
      </c>
      <c r="Y31" s="25"/>
      <c r="Z31" s="22"/>
      <c r="AA31" s="21"/>
      <c r="AB31" s="22">
        <v>6.69</v>
      </c>
      <c r="AC31" s="25"/>
      <c r="AD31" s="22"/>
      <c r="AE31" s="25"/>
      <c r="AF31" s="22"/>
      <c r="AG31" s="25"/>
      <c r="AH31" s="22">
        <v>4.8</v>
      </c>
      <c r="AI31" s="25"/>
      <c r="AJ31" s="22"/>
      <c r="AK31" s="25"/>
      <c r="AL31" s="22"/>
      <c r="AM31" s="25"/>
      <c r="AN31" s="22">
        <v>3.28</v>
      </c>
      <c r="AO31" s="25"/>
      <c r="AP31" s="22"/>
      <c r="AQ31" s="25"/>
      <c r="AR31" s="22">
        <v>10.26</v>
      </c>
      <c r="AS31" s="25"/>
      <c r="AT31" s="22">
        <v>3.6</v>
      </c>
      <c r="AU31" s="25"/>
      <c r="AV31" s="22"/>
      <c r="AW31"/>
      <c r="AX31" s="74">
        <f t="shared" si="2"/>
        <v>67.36</v>
      </c>
      <c r="AY31" s="22">
        <f t="shared" si="0"/>
        <v>63.84834123222749</v>
      </c>
    </row>
    <row r="32" spans="1:51" x14ac:dyDescent="0.25">
      <c r="A32" s="19" t="s">
        <v>48</v>
      </c>
      <c r="B32" s="20" t="s">
        <v>34</v>
      </c>
      <c r="C32" s="25"/>
      <c r="D32" s="22"/>
      <c r="E32" s="25"/>
      <c r="F32" s="22"/>
      <c r="G32" s="25"/>
      <c r="H32" s="22"/>
      <c r="I32" s="25"/>
      <c r="J32" s="22">
        <v>19.45</v>
      </c>
      <c r="K32" s="25"/>
      <c r="L32" s="73"/>
      <c r="M32" s="25"/>
      <c r="N32" s="22">
        <v>0.73</v>
      </c>
      <c r="O32" s="25"/>
      <c r="P32" s="22"/>
      <c r="Q32" s="25"/>
      <c r="R32" s="22"/>
      <c r="S32" s="21"/>
      <c r="T32" s="22">
        <v>7.48</v>
      </c>
      <c r="U32" s="25"/>
      <c r="V32" s="22"/>
      <c r="W32" s="25"/>
      <c r="X32" s="22">
        <v>12</v>
      </c>
      <c r="Y32" s="25"/>
      <c r="Z32" s="22"/>
      <c r="AA32" s="21"/>
      <c r="AB32" s="22">
        <v>13.8</v>
      </c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>
        <v>3.43</v>
      </c>
      <c r="AO32" s="25"/>
      <c r="AP32" s="22"/>
      <c r="AQ32" s="25"/>
      <c r="AR32" s="22">
        <v>12.32</v>
      </c>
      <c r="AS32" s="25"/>
      <c r="AT32" s="22"/>
      <c r="AU32" s="25"/>
      <c r="AV32" s="22"/>
      <c r="AW32"/>
      <c r="AX32" s="74">
        <f t="shared" si="2"/>
        <v>69.209999999999994</v>
      </c>
      <c r="AY32" s="22">
        <f t="shared" si="0"/>
        <v>65.60189573459715</v>
      </c>
    </row>
    <row r="33" spans="1:51" x14ac:dyDescent="0.25">
      <c r="A33" s="19" t="s">
        <v>49</v>
      </c>
      <c r="B33" s="20" t="s">
        <v>34</v>
      </c>
      <c r="C33" s="25"/>
      <c r="D33" s="22">
        <v>5.93</v>
      </c>
      <c r="E33" s="25"/>
      <c r="F33" s="22"/>
      <c r="G33" s="25"/>
      <c r="H33" s="22"/>
      <c r="I33" s="25"/>
      <c r="J33" s="22">
        <v>6.44</v>
      </c>
      <c r="K33" s="25"/>
      <c r="L33" s="73"/>
      <c r="M33" s="25"/>
      <c r="N33" s="22">
        <v>1.95</v>
      </c>
      <c r="O33" s="25"/>
      <c r="P33" s="22"/>
      <c r="Q33" s="25"/>
      <c r="R33" s="22"/>
      <c r="S33" s="21"/>
      <c r="T33" s="22">
        <v>50</v>
      </c>
      <c r="U33" s="25"/>
      <c r="V33" s="22"/>
      <c r="W33" s="25"/>
      <c r="X33" s="22"/>
      <c r="Y33" s="25"/>
      <c r="Z33" s="22"/>
      <c r="AA33" s="21"/>
      <c r="AB33" s="22">
        <v>11.02</v>
      </c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>
        <v>7.06</v>
      </c>
      <c r="AO33" s="25"/>
      <c r="AP33" s="22"/>
      <c r="AQ33" s="25"/>
      <c r="AR33" s="22"/>
      <c r="AS33" s="25"/>
      <c r="AT33" s="22">
        <v>5.84</v>
      </c>
      <c r="AU33" s="25"/>
      <c r="AV33" s="22"/>
      <c r="AW33"/>
      <c r="AX33" s="74">
        <f t="shared" si="2"/>
        <v>88.240000000000009</v>
      </c>
      <c r="AY33" s="22">
        <f t="shared" si="0"/>
        <v>83.639810426540294</v>
      </c>
    </row>
    <row r="34" spans="1:51" x14ac:dyDescent="0.25">
      <c r="A34" s="19" t="s">
        <v>50</v>
      </c>
      <c r="B34" s="20" t="s">
        <v>34</v>
      </c>
      <c r="C34" s="25"/>
      <c r="D34" s="22">
        <f>49.7+20.5</f>
        <v>70.2</v>
      </c>
      <c r="E34" s="25"/>
      <c r="F34" s="22"/>
      <c r="G34" s="25"/>
      <c r="H34" s="22"/>
      <c r="I34" s="25"/>
      <c r="J34" s="22">
        <v>77.209999999999994</v>
      </c>
      <c r="K34" s="25"/>
      <c r="L34" s="73"/>
      <c r="M34" s="25"/>
      <c r="N34" s="22">
        <f>32.57+19</f>
        <v>51.57</v>
      </c>
      <c r="O34" s="25"/>
      <c r="P34" s="22"/>
      <c r="Q34" s="25"/>
      <c r="R34" s="22"/>
      <c r="S34" s="21"/>
      <c r="T34" s="22">
        <v>101.25</v>
      </c>
      <c r="U34" s="25"/>
      <c r="V34" s="22"/>
      <c r="W34" s="25"/>
      <c r="X34" s="22">
        <v>75.25</v>
      </c>
      <c r="Y34" s="25"/>
      <c r="Z34" s="22"/>
      <c r="AA34" s="21"/>
      <c r="AB34" s="22">
        <v>129.29</v>
      </c>
      <c r="AC34" s="25"/>
      <c r="AD34" s="22"/>
      <c r="AE34" s="25"/>
      <c r="AF34" s="22"/>
      <c r="AG34" s="25"/>
      <c r="AH34" s="22">
        <v>41.23</v>
      </c>
      <c r="AI34" s="25"/>
      <c r="AJ34" s="22"/>
      <c r="AK34" s="25"/>
      <c r="AL34" s="22"/>
      <c r="AM34" s="25"/>
      <c r="AN34" s="22">
        <v>106.73</v>
      </c>
      <c r="AO34" s="25"/>
      <c r="AP34" s="22"/>
      <c r="AQ34" s="25"/>
      <c r="AR34" s="22">
        <v>77.430000000000007</v>
      </c>
      <c r="AS34" s="25"/>
      <c r="AT34" s="22">
        <v>41.34</v>
      </c>
      <c r="AU34" s="25"/>
      <c r="AV34" s="22"/>
      <c r="AW34"/>
      <c r="AX34" s="74">
        <f t="shared" si="2"/>
        <v>771.50000000000011</v>
      </c>
      <c r="AY34" s="22">
        <f t="shared" si="0"/>
        <v>731.2796208530807</v>
      </c>
    </row>
    <row r="35" spans="1:51" hidden="1" x14ac:dyDescent="0.25">
      <c r="A35" s="19" t="s">
        <v>51</v>
      </c>
      <c r="B35" s="20" t="s">
        <v>34</v>
      </c>
      <c r="C35" s="25"/>
      <c r="D35" s="22"/>
      <c r="E35" s="25"/>
      <c r="F35" s="22"/>
      <c r="G35" s="25"/>
      <c r="H35" s="22"/>
      <c r="I35" s="25"/>
      <c r="J35" s="22"/>
      <c r="K35" s="25"/>
      <c r="L35" s="73"/>
      <c r="M35" s="25"/>
      <c r="N35" s="22"/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si="2"/>
        <v>0</v>
      </c>
      <c r="AY35" s="22">
        <f t="shared" ref="AY35:AY61" si="3">AX35/1.055</f>
        <v>0</v>
      </c>
    </row>
    <row r="36" spans="1:51" hidden="1" x14ac:dyDescent="0.25">
      <c r="A36" s="19" t="s">
        <v>133</v>
      </c>
      <c r="B36" s="20" t="s">
        <v>53</v>
      </c>
      <c r="C36" s="25"/>
      <c r="D36" s="22"/>
      <c r="E36" s="25"/>
      <c r="F36" s="22"/>
      <c r="G36" s="25"/>
      <c r="H36" s="22"/>
      <c r="I36" s="25"/>
      <c r="J36" s="22"/>
      <c r="K36" s="25"/>
      <c r="L36" s="73"/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0</v>
      </c>
      <c r="AY36" s="22">
        <f t="shared" si="3"/>
        <v>0</v>
      </c>
    </row>
    <row r="37" spans="1:51" hidden="1" x14ac:dyDescent="0.25">
      <c r="A37" s="19" t="s">
        <v>54</v>
      </c>
      <c r="B37" s="20" t="s">
        <v>55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1" x14ac:dyDescent="0.25">
      <c r="A38" s="19" t="s">
        <v>56</v>
      </c>
      <c r="B38" s="20" t="s">
        <v>34</v>
      </c>
      <c r="C38" s="25"/>
      <c r="D38" s="22">
        <v>10.8</v>
      </c>
      <c r="E38" s="25"/>
      <c r="F38" s="22"/>
      <c r="G38" s="25"/>
      <c r="H38" s="22"/>
      <c r="I38" s="25"/>
      <c r="J38" s="22">
        <v>11.25</v>
      </c>
      <c r="K38" s="25"/>
      <c r="L38" s="73"/>
      <c r="M38" s="25"/>
      <c r="N38" s="22">
        <v>10.99</v>
      </c>
      <c r="O38" s="25"/>
      <c r="P38" s="22"/>
      <c r="Q38" s="25"/>
      <c r="R38" s="22"/>
      <c r="S38" s="21"/>
      <c r="T38" s="22">
        <v>14</v>
      </c>
      <c r="U38" s="25"/>
      <c r="V38" s="22"/>
      <c r="W38" s="25"/>
      <c r="X38" s="22"/>
      <c r="Y38" s="25"/>
      <c r="Z38" s="22"/>
      <c r="AA38" s="21"/>
      <c r="AB38" s="22">
        <v>3.48</v>
      </c>
      <c r="AC38" s="25"/>
      <c r="AD38" s="22"/>
      <c r="AE38" s="25"/>
      <c r="AF38" s="22"/>
      <c r="AG38" s="25"/>
      <c r="AH38" s="22">
        <v>5.6</v>
      </c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56.120000000000005</v>
      </c>
      <c r="AY38" s="22">
        <f t="shared" si="3"/>
        <v>53.194312796208536</v>
      </c>
    </row>
    <row r="39" spans="1:51" hidden="1" x14ac:dyDescent="0.25">
      <c r="A39" s="19" t="s">
        <v>57</v>
      </c>
      <c r="B39" s="20" t="s">
        <v>53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0</v>
      </c>
      <c r="AY39" s="22">
        <f t="shared" si="3"/>
        <v>0</v>
      </c>
    </row>
    <row r="40" spans="1:51" x14ac:dyDescent="0.25">
      <c r="A40" s="19" t="s">
        <v>58</v>
      </c>
      <c r="B40" s="20" t="s">
        <v>34</v>
      </c>
      <c r="C40" s="25"/>
      <c r="D40" s="22">
        <v>0.7</v>
      </c>
      <c r="E40" s="25">
        <v>1.02</v>
      </c>
      <c r="F40" s="22">
        <v>3.37</v>
      </c>
      <c r="G40" s="25"/>
      <c r="H40" s="22"/>
      <c r="I40" s="25"/>
      <c r="J40" s="22">
        <v>9.44</v>
      </c>
      <c r="K40" s="25">
        <v>1.5349999999999999</v>
      </c>
      <c r="L40" s="73">
        <v>5.07</v>
      </c>
      <c r="M40" s="25"/>
      <c r="N40" s="22"/>
      <c r="O40" s="25"/>
      <c r="P40" s="22"/>
      <c r="Q40" s="25"/>
      <c r="R40" s="22"/>
      <c r="S40" s="21"/>
      <c r="T40" s="22">
        <v>8.3800000000000008</v>
      </c>
      <c r="U40" s="25">
        <v>1.2150000000000001</v>
      </c>
      <c r="V40" s="22">
        <v>4.01</v>
      </c>
      <c r="W40" s="25"/>
      <c r="X40" s="22">
        <v>2.84</v>
      </c>
      <c r="Y40" s="25"/>
      <c r="Z40" s="22"/>
      <c r="AA40" s="21"/>
      <c r="AB40" s="22">
        <v>5.5</v>
      </c>
      <c r="AC40" s="25">
        <v>1.4850000000000001</v>
      </c>
      <c r="AD40" s="22">
        <v>4.9000000000000004</v>
      </c>
      <c r="AE40" s="25"/>
      <c r="AF40" s="22"/>
      <c r="AG40" s="25"/>
      <c r="AH40" s="22">
        <v>3.85</v>
      </c>
      <c r="AI40" s="25">
        <v>1.77</v>
      </c>
      <c r="AJ40" s="22">
        <v>5.84</v>
      </c>
      <c r="AK40" s="25">
        <v>2.19</v>
      </c>
      <c r="AL40" s="22">
        <v>7.23</v>
      </c>
      <c r="AM40" s="25"/>
      <c r="AN40" s="22">
        <v>7.09</v>
      </c>
      <c r="AO40" s="25"/>
      <c r="AP40" s="22"/>
      <c r="AQ40" s="25"/>
      <c r="AR40" s="22"/>
      <c r="AS40" s="25"/>
      <c r="AT40" s="22">
        <v>2.97</v>
      </c>
      <c r="AU40" s="25"/>
      <c r="AV40" s="22"/>
      <c r="AW40"/>
      <c r="AX40" s="74">
        <f t="shared" si="2"/>
        <v>71.190000000000012</v>
      </c>
      <c r="AY40" s="22">
        <f t="shared" si="3"/>
        <v>67.478672985782012</v>
      </c>
    </row>
    <row r="41" spans="1:51" hidden="1" x14ac:dyDescent="0.25">
      <c r="A41" s="19" t="s">
        <v>110</v>
      </c>
      <c r="B41" s="20" t="s">
        <v>34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1" hidden="1" x14ac:dyDescent="0.25">
      <c r="A42" s="19" t="s">
        <v>111</v>
      </c>
      <c r="B42" s="20" t="s">
        <v>34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1" hidden="1" x14ac:dyDescent="0.25">
      <c r="A43" s="19" t="s">
        <v>112</v>
      </c>
      <c r="B43" s="20" t="s">
        <v>34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1" hidden="1" x14ac:dyDescent="0.25">
      <c r="A44" s="19" t="s">
        <v>113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1" x14ac:dyDescent="0.25">
      <c r="A45" s="19" t="s">
        <v>134</v>
      </c>
      <c r="B45" s="20" t="s">
        <v>34</v>
      </c>
      <c r="C45" s="25"/>
      <c r="D45" s="22"/>
      <c r="E45" s="25"/>
      <c r="F45" s="22"/>
      <c r="G45" s="25"/>
      <c r="H45" s="22"/>
      <c r="I45" s="25"/>
      <c r="J45" s="22">
        <v>2</v>
      </c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2</v>
      </c>
      <c r="AY45" s="22">
        <f t="shared" si="3"/>
        <v>1.8957345971563981</v>
      </c>
    </row>
    <row r="46" spans="1:51" hidden="1" x14ac:dyDescent="0.25">
      <c r="A46" s="19" t="s">
        <v>59</v>
      </c>
      <c r="B46" s="20"/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0</v>
      </c>
      <c r="AY46" s="22">
        <f t="shared" si="3"/>
        <v>0</v>
      </c>
    </row>
    <row r="47" spans="1:51" s="18" customFormat="1" x14ac:dyDescent="0.25">
      <c r="A47" s="12" t="s">
        <v>60</v>
      </c>
      <c r="B47" s="13"/>
      <c r="C47" s="14"/>
      <c r="D47" s="15">
        <f>SUM(D48:D55)</f>
        <v>42.08</v>
      </c>
      <c r="E47" s="14"/>
      <c r="F47" s="15">
        <f>SUM(F48:F55)</f>
        <v>40.51</v>
      </c>
      <c r="G47" s="14"/>
      <c r="H47" s="15">
        <f>SUM(H48:H55)</f>
        <v>7.3</v>
      </c>
      <c r="I47" s="14"/>
      <c r="J47" s="15">
        <f>SUM(J48:J55)</f>
        <v>27.39</v>
      </c>
      <c r="K47" s="70"/>
      <c r="L47" s="70">
        <f>SUM(L48:L55)</f>
        <v>85.059999999999988</v>
      </c>
      <c r="M47" s="14"/>
      <c r="N47" s="15">
        <f>SUM(N48:N55)</f>
        <v>19.439999999999998</v>
      </c>
      <c r="O47" s="14"/>
      <c r="P47" s="15">
        <f>SUM(P48:P55)</f>
        <v>55.31</v>
      </c>
      <c r="Q47" s="14"/>
      <c r="R47" s="15">
        <f>SUM(R48:R55)</f>
        <v>7.4</v>
      </c>
      <c r="S47" s="14"/>
      <c r="T47" s="15">
        <f>SUM(T48:T55)</f>
        <v>26.419999999999998</v>
      </c>
      <c r="U47" s="14"/>
      <c r="V47" s="15">
        <f>SUM(V48:V55)</f>
        <v>58.44</v>
      </c>
      <c r="W47" s="14"/>
      <c r="X47" s="15">
        <f>SUM(X48:X55)</f>
        <v>9.76</v>
      </c>
      <c r="Y47" s="14"/>
      <c r="Z47" s="15">
        <f>SUM(Z48:Z55)</f>
        <v>11.34</v>
      </c>
      <c r="AA47" s="14"/>
      <c r="AB47" s="15">
        <f>SUM(AB48:AB55)</f>
        <v>20.5</v>
      </c>
      <c r="AC47" s="14"/>
      <c r="AD47" s="15">
        <f>SUM(AD48:AD55)</f>
        <v>45.480000000000004</v>
      </c>
      <c r="AE47" s="14"/>
      <c r="AF47" s="15">
        <f>SUM(AF48:AF55)</f>
        <v>4</v>
      </c>
      <c r="AG47" s="14"/>
      <c r="AH47" s="15">
        <f>SUM(AH48:AH55)</f>
        <v>12.61</v>
      </c>
      <c r="AI47" s="14"/>
      <c r="AJ47" s="15">
        <f>SUM(AJ48:AJ55)</f>
        <v>21.900000000000002</v>
      </c>
      <c r="AK47" s="14"/>
      <c r="AL47" s="15">
        <f>SUM(AL48:AL55)</f>
        <v>49.17</v>
      </c>
      <c r="AM47" s="14"/>
      <c r="AN47" s="15">
        <f>SUM(AN48:AN55)</f>
        <v>38.94</v>
      </c>
      <c r="AO47" s="14"/>
      <c r="AP47" s="15">
        <f>SUM(AP48:AP55)</f>
        <v>7.03</v>
      </c>
      <c r="AQ47" s="14"/>
      <c r="AR47" s="15">
        <f>SUM(AR48:AR55)</f>
        <v>11.03</v>
      </c>
      <c r="AS47" s="14"/>
      <c r="AT47" s="15">
        <f>SUM(AT48:AT55)</f>
        <v>4.58</v>
      </c>
      <c r="AU47" s="14"/>
      <c r="AV47" s="15">
        <f>SUM(AV48:AV55)</f>
        <v>0</v>
      </c>
      <c r="AX47" s="71">
        <f t="shared" si="2"/>
        <v>605.68999999999994</v>
      </c>
      <c r="AY47" s="15">
        <f t="shared" si="3"/>
        <v>574.11374407582935</v>
      </c>
    </row>
    <row r="48" spans="1:51" x14ac:dyDescent="0.25">
      <c r="A48" s="19" t="s">
        <v>61</v>
      </c>
      <c r="B48" s="20" t="s">
        <v>34</v>
      </c>
      <c r="C48" s="25"/>
      <c r="D48" s="22">
        <v>3.08</v>
      </c>
      <c r="E48" s="25"/>
      <c r="F48" s="22"/>
      <c r="G48" s="25"/>
      <c r="H48" s="22">
        <v>4.8</v>
      </c>
      <c r="I48" s="25"/>
      <c r="J48" s="22">
        <v>1.5</v>
      </c>
      <c r="K48" s="1">
        <v>0.505</v>
      </c>
      <c r="L48" s="73">
        <v>11.62</v>
      </c>
      <c r="M48" s="25"/>
      <c r="N48" s="22"/>
      <c r="O48" s="25"/>
      <c r="P48" s="22"/>
      <c r="Q48" s="25"/>
      <c r="R48" s="22">
        <v>7.4</v>
      </c>
      <c r="S48" s="25"/>
      <c r="T48" s="22">
        <v>3.9</v>
      </c>
      <c r="U48" s="25">
        <v>0.625</v>
      </c>
      <c r="V48" s="22">
        <v>14.38</v>
      </c>
      <c r="W48" s="25"/>
      <c r="X48" s="22">
        <v>7.51</v>
      </c>
      <c r="Y48" s="25">
        <v>0.14499999999999999</v>
      </c>
      <c r="Z48" s="22">
        <v>3.34</v>
      </c>
      <c r="AA48" s="25"/>
      <c r="AB48" s="22">
        <v>12.15</v>
      </c>
      <c r="AC48" s="25">
        <v>0.53500000000000003</v>
      </c>
      <c r="AD48" s="22">
        <v>12.31</v>
      </c>
      <c r="AE48" s="25"/>
      <c r="AF48" s="22"/>
      <c r="AG48" s="25"/>
      <c r="AH48" s="22">
        <v>6.31</v>
      </c>
      <c r="AI48" s="25">
        <v>0.17499999999999999</v>
      </c>
      <c r="AJ48" s="22">
        <v>4.03</v>
      </c>
      <c r="AK48" s="25">
        <v>0.32500000000000001</v>
      </c>
      <c r="AL48" s="22">
        <v>7.48</v>
      </c>
      <c r="AM48" s="25"/>
      <c r="AN48" s="22"/>
      <c r="AO48" s="25"/>
      <c r="AP48" s="22"/>
      <c r="AQ48" s="25"/>
      <c r="AR48" s="22">
        <v>7.43</v>
      </c>
      <c r="AS48" s="25"/>
      <c r="AT48" s="22"/>
      <c r="AU48" s="25"/>
      <c r="AV48" s="22"/>
      <c r="AW48"/>
      <c r="AX48" s="74">
        <f t="shared" si="2"/>
        <v>107.24000000000001</v>
      </c>
      <c r="AY48" s="22">
        <f t="shared" si="3"/>
        <v>101.64928909952609</v>
      </c>
    </row>
    <row r="49" spans="1:53" x14ac:dyDescent="0.25">
      <c r="A49" s="19" t="s">
        <v>62</v>
      </c>
      <c r="B49" s="20" t="s">
        <v>34</v>
      </c>
      <c r="C49"/>
      <c r="D49" s="22"/>
      <c r="E49"/>
      <c r="F49" s="22"/>
      <c r="G49"/>
      <c r="H49" s="22"/>
      <c r="I49"/>
      <c r="J49" s="22"/>
      <c r="K49" s="1">
        <v>0.46500000000000002</v>
      </c>
      <c r="L49" s="22">
        <v>10.7</v>
      </c>
      <c r="M49"/>
      <c r="N49" s="22"/>
      <c r="O49"/>
      <c r="P49" s="22"/>
      <c r="Q49"/>
      <c r="R49" s="22"/>
      <c r="S49"/>
      <c r="T49" s="22"/>
      <c r="U49" s="1">
        <v>0.26</v>
      </c>
      <c r="V49" s="22">
        <v>5.98</v>
      </c>
      <c r="W49"/>
      <c r="X49" s="22"/>
      <c r="Y49"/>
      <c r="Z49" s="22"/>
      <c r="AA49"/>
      <c r="AB49" s="22"/>
      <c r="AC49"/>
      <c r="AD49" s="22"/>
      <c r="AE49"/>
      <c r="AF49" s="22"/>
      <c r="AG49"/>
      <c r="AH49" s="22"/>
      <c r="AI49"/>
      <c r="AJ49" s="22"/>
      <c r="AK49"/>
      <c r="AL49" s="22"/>
      <c r="AM49"/>
      <c r="AN49" s="22">
        <v>2</v>
      </c>
      <c r="AO49"/>
      <c r="AP49" s="22"/>
      <c r="AQ49"/>
      <c r="AR49" s="22"/>
      <c r="AS49"/>
      <c r="AT49" s="22"/>
      <c r="AU49"/>
      <c r="AV49" s="22"/>
      <c r="AW49"/>
      <c r="AX49" s="74">
        <f t="shared" si="2"/>
        <v>18.68</v>
      </c>
      <c r="AY49" s="22">
        <f t="shared" si="3"/>
        <v>17.706161137440759</v>
      </c>
    </row>
    <row r="50" spans="1:53" x14ac:dyDescent="0.25">
      <c r="A50" s="19" t="s">
        <v>63</v>
      </c>
      <c r="B50" s="20" t="s">
        <v>34</v>
      </c>
      <c r="C50"/>
      <c r="D50" s="22"/>
      <c r="E50" s="1">
        <v>0.19500000000000001</v>
      </c>
      <c r="F50" s="22">
        <v>4.49</v>
      </c>
      <c r="G50"/>
      <c r="H50" s="22">
        <v>2.5</v>
      </c>
      <c r="I50"/>
      <c r="J50" s="22"/>
      <c r="K50" s="1">
        <v>0.76500000000000001</v>
      </c>
      <c r="L50" s="22">
        <v>17.600000000000001</v>
      </c>
      <c r="M50"/>
      <c r="N50" s="22"/>
      <c r="O50"/>
      <c r="P50" s="22"/>
      <c r="Q50"/>
      <c r="R50" s="22"/>
      <c r="S50"/>
      <c r="T50" s="22"/>
      <c r="U50" s="1">
        <v>0.39500000000000002</v>
      </c>
      <c r="V50" s="22">
        <v>9.09</v>
      </c>
      <c r="W50"/>
      <c r="X50" s="22"/>
      <c r="Y50"/>
      <c r="Z50" s="22"/>
      <c r="AA50"/>
      <c r="AB50" s="22">
        <v>3.99</v>
      </c>
      <c r="AC50"/>
      <c r="AD50" s="22"/>
      <c r="AE50"/>
      <c r="AF50" s="22"/>
      <c r="AG50"/>
      <c r="AH50" s="22"/>
      <c r="AI50"/>
      <c r="AJ50" s="22"/>
      <c r="AK50" s="1">
        <v>0.55500000000000005</v>
      </c>
      <c r="AL50" s="22">
        <v>12.77</v>
      </c>
      <c r="AM50"/>
      <c r="AN50" s="22">
        <v>1.5</v>
      </c>
      <c r="AO50"/>
      <c r="AP50" s="22"/>
      <c r="AQ50"/>
      <c r="AR50" s="22"/>
      <c r="AS50"/>
      <c r="AT50" s="22"/>
      <c r="AU50"/>
      <c r="AV50" s="22"/>
      <c r="AW50"/>
      <c r="AX50" s="74">
        <f t="shared" si="2"/>
        <v>51.940000000000005</v>
      </c>
      <c r="AY50" s="22">
        <f t="shared" si="3"/>
        <v>49.232227488151665</v>
      </c>
    </row>
    <row r="51" spans="1:53" x14ac:dyDescent="0.25">
      <c r="A51" s="19" t="s">
        <v>64</v>
      </c>
      <c r="B51" s="20" t="s">
        <v>34</v>
      </c>
      <c r="C51" s="25"/>
      <c r="D51" s="22">
        <v>4.5</v>
      </c>
      <c r="E51" s="25">
        <v>0.56499999999999995</v>
      </c>
      <c r="F51" s="22">
        <v>22.05</v>
      </c>
      <c r="G51" s="25"/>
      <c r="H51" s="22"/>
      <c r="I51" s="25"/>
      <c r="J51" s="22">
        <v>6.84</v>
      </c>
      <c r="K51" s="1">
        <v>0.24</v>
      </c>
      <c r="L51" s="73">
        <v>9.3699999999999992</v>
      </c>
      <c r="M51" s="25"/>
      <c r="N51" s="22">
        <v>10.44</v>
      </c>
      <c r="O51" s="25">
        <v>1.105</v>
      </c>
      <c r="P51" s="22">
        <v>43.12</v>
      </c>
      <c r="Q51" s="25"/>
      <c r="R51" s="22"/>
      <c r="S51" s="25"/>
      <c r="T51" s="22">
        <v>19.52</v>
      </c>
      <c r="U51" s="25">
        <v>0.34499999999999997</v>
      </c>
      <c r="V51" s="22">
        <v>12.42</v>
      </c>
      <c r="W51" s="25"/>
      <c r="X51" s="22"/>
      <c r="Y51" s="25">
        <v>0.20499999999999999</v>
      </c>
      <c r="Z51" s="22">
        <v>8</v>
      </c>
      <c r="AA51" s="25"/>
      <c r="AB51" s="22"/>
      <c r="AC51" s="25">
        <v>0.245</v>
      </c>
      <c r="AD51" s="22">
        <v>9.56</v>
      </c>
      <c r="AE51" s="25"/>
      <c r="AF51" s="22"/>
      <c r="AG51" s="25"/>
      <c r="AH51" s="22">
        <v>1.8</v>
      </c>
      <c r="AI51" s="25"/>
      <c r="AJ51" s="22"/>
      <c r="AK51" s="25">
        <v>0.34499999999999997</v>
      </c>
      <c r="AL51" s="22">
        <v>13.47</v>
      </c>
      <c r="AM51" s="25"/>
      <c r="AN51" s="22"/>
      <c r="AO51" s="25"/>
      <c r="AP51" s="22"/>
      <c r="AQ51" s="25"/>
      <c r="AR51" s="22">
        <v>3.6</v>
      </c>
      <c r="AS51" s="25"/>
      <c r="AT51" s="22">
        <v>4.58</v>
      </c>
      <c r="AU51" s="25"/>
      <c r="AV51" s="22"/>
      <c r="AW51"/>
      <c r="AX51" s="74">
        <f t="shared" si="2"/>
        <v>169.27</v>
      </c>
      <c r="AY51" s="22">
        <f t="shared" si="3"/>
        <v>160.44549763033177</v>
      </c>
    </row>
    <row r="52" spans="1:53" hidden="1" x14ac:dyDescent="0.25">
      <c r="A52" s="19" t="s">
        <v>65</v>
      </c>
      <c r="B52" s="20" t="s">
        <v>34</v>
      </c>
      <c r="C52" s="25"/>
      <c r="D52" s="22"/>
      <c r="E52" s="25"/>
      <c r="F52" s="22"/>
      <c r="G52" s="25"/>
      <c r="H52" s="22"/>
      <c r="I52" s="25"/>
      <c r="J52" s="22"/>
      <c r="K52" s="1"/>
      <c r="L52" s="73"/>
      <c r="M52" s="25"/>
      <c r="N52" s="22"/>
      <c r="O52" s="25"/>
      <c r="P52" s="22"/>
      <c r="Q52" s="25"/>
      <c r="R52" s="22"/>
      <c r="S52" s="25"/>
      <c r="T52" s="22"/>
      <c r="U52" s="25"/>
      <c r="V52" s="22"/>
      <c r="W52" s="25"/>
      <c r="X52" s="22"/>
      <c r="Y52" s="25"/>
      <c r="Z52" s="22"/>
      <c r="AA52" s="25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2"/>
        <v>0</v>
      </c>
      <c r="AY52" s="22">
        <f t="shared" si="3"/>
        <v>0</v>
      </c>
    </row>
    <row r="53" spans="1:53" x14ac:dyDescent="0.25">
      <c r="A53" s="19" t="s">
        <v>66</v>
      </c>
      <c r="B53" s="20" t="s">
        <v>34</v>
      </c>
      <c r="C53" s="25"/>
      <c r="D53" s="22">
        <v>34.5</v>
      </c>
      <c r="E53" s="25">
        <v>1.47</v>
      </c>
      <c r="F53" s="22">
        <v>13.97</v>
      </c>
      <c r="G53" s="25"/>
      <c r="H53" s="22"/>
      <c r="I53" s="25"/>
      <c r="J53" s="22">
        <v>19.05</v>
      </c>
      <c r="K53" s="1">
        <v>3.11</v>
      </c>
      <c r="L53" s="73">
        <v>29.56</v>
      </c>
      <c r="M53" s="25"/>
      <c r="N53" s="22">
        <v>9</v>
      </c>
      <c r="O53" s="25">
        <v>0.98</v>
      </c>
      <c r="P53" s="22">
        <v>9.31</v>
      </c>
      <c r="Q53" s="25"/>
      <c r="R53" s="22"/>
      <c r="S53" s="25"/>
      <c r="T53" s="22"/>
      <c r="U53" s="25"/>
      <c r="V53" s="22"/>
      <c r="W53" s="25"/>
      <c r="X53" s="22"/>
      <c r="Y53" s="25"/>
      <c r="Z53" s="22"/>
      <c r="AA53" s="25"/>
      <c r="AB53" s="22">
        <v>4.3600000000000003</v>
      </c>
      <c r="AC53" s="25">
        <v>2.4849999999999999</v>
      </c>
      <c r="AD53" s="22">
        <v>23.61</v>
      </c>
      <c r="AE53" s="25"/>
      <c r="AF53" s="22">
        <v>4</v>
      </c>
      <c r="AG53" s="25"/>
      <c r="AH53" s="22">
        <v>4.5</v>
      </c>
      <c r="AI53" s="25">
        <v>1.88</v>
      </c>
      <c r="AJ53" s="22">
        <v>17.87</v>
      </c>
      <c r="AK53" s="25">
        <v>1.625</v>
      </c>
      <c r="AL53" s="22">
        <v>15.45</v>
      </c>
      <c r="AM53" s="25"/>
      <c r="AN53" s="22">
        <v>35.44</v>
      </c>
      <c r="AO53" s="25">
        <v>0.74</v>
      </c>
      <c r="AP53" s="22">
        <v>7.03</v>
      </c>
      <c r="AQ53" s="25"/>
      <c r="AR53" s="22"/>
      <c r="AS53" s="25"/>
      <c r="AT53" s="22"/>
      <c r="AU53" s="25"/>
      <c r="AV53" s="22"/>
      <c r="AW53"/>
      <c r="AX53" s="74">
        <f t="shared" si="2"/>
        <v>227.65</v>
      </c>
      <c r="AY53" s="22">
        <f t="shared" si="3"/>
        <v>215.78199052132703</v>
      </c>
    </row>
    <row r="54" spans="1:53" x14ac:dyDescent="0.25">
      <c r="A54" s="19" t="s">
        <v>38</v>
      </c>
      <c r="B54" s="20" t="s">
        <v>34</v>
      </c>
      <c r="C54" s="25"/>
      <c r="D54" s="22"/>
      <c r="E54" s="25"/>
      <c r="F54" s="22"/>
      <c r="G54" s="25"/>
      <c r="H54" s="22"/>
      <c r="I54" s="25"/>
      <c r="J54" s="22"/>
      <c r="K54" s="1">
        <v>0.27</v>
      </c>
      <c r="L54" s="73">
        <v>6.21</v>
      </c>
      <c r="M54" s="25"/>
      <c r="N54" s="22"/>
      <c r="O54" s="25">
        <v>0.125</v>
      </c>
      <c r="P54" s="22">
        <v>2.88</v>
      </c>
      <c r="Q54" s="25"/>
      <c r="R54" s="22"/>
      <c r="S54" s="25"/>
      <c r="T54" s="22">
        <v>3</v>
      </c>
      <c r="U54" s="25">
        <v>0.72</v>
      </c>
      <c r="V54" s="22">
        <v>16.57</v>
      </c>
      <c r="W54" s="25"/>
      <c r="X54" s="22">
        <v>2.25</v>
      </c>
      <c r="Y54" s="25"/>
      <c r="Z54" s="22"/>
      <c r="AA54" s="25"/>
      <c r="AB54" s="22"/>
      <c r="AC54" s="25"/>
      <c r="AD54" s="22"/>
      <c r="AE54" s="25"/>
      <c r="AF54" s="22"/>
      <c r="AG54" s="25"/>
      <c r="AH54" s="22"/>
      <c r="AI54" s="25"/>
      <c r="AJ54" s="22"/>
      <c r="AK54" s="25"/>
      <c r="AL54" s="22"/>
      <c r="AM54" s="25"/>
      <c r="AN54" s="22"/>
      <c r="AO54" s="25"/>
      <c r="AP54" s="22"/>
      <c r="AQ54" s="25"/>
      <c r="AR54" s="22"/>
      <c r="AS54" s="25"/>
      <c r="AT54" s="22"/>
      <c r="AU54" s="25"/>
      <c r="AV54" s="22"/>
      <c r="AW54"/>
      <c r="AX54" s="74">
        <f t="shared" si="2"/>
        <v>30.91</v>
      </c>
      <c r="AY54" s="22">
        <f t="shared" si="3"/>
        <v>29.298578199052134</v>
      </c>
    </row>
    <row r="55" spans="1:53" hidden="1" x14ac:dyDescent="0.25">
      <c r="A55" s="19" t="s">
        <v>114</v>
      </c>
      <c r="B55" s="20"/>
      <c r="C55" s="25"/>
      <c r="D55" s="22"/>
      <c r="E55" s="25"/>
      <c r="F55" s="22"/>
      <c r="G55" s="25"/>
      <c r="H55" s="22"/>
      <c r="I55" s="25"/>
      <c r="J55" s="22"/>
      <c r="K55" s="1"/>
      <c r="L55" s="73"/>
      <c r="M55" s="25"/>
      <c r="N55" s="22"/>
      <c r="O55" s="25"/>
      <c r="P55" s="22"/>
      <c r="Q55" s="25"/>
      <c r="R55" s="22"/>
      <c r="S55" s="25"/>
      <c r="T55" s="22"/>
      <c r="U55" s="25"/>
      <c r="V55" s="22"/>
      <c r="W55" s="25"/>
      <c r="X55" s="22"/>
      <c r="Y55" s="25"/>
      <c r="Z55" s="22"/>
      <c r="AA55" s="25"/>
      <c r="AB55" s="22"/>
      <c r="AC55" s="25"/>
      <c r="AD55" s="22"/>
      <c r="AE55" s="25"/>
      <c r="AF55" s="22"/>
      <c r="AG55" s="25"/>
      <c r="AH55" s="22"/>
      <c r="AI55" s="25"/>
      <c r="AJ55" s="22"/>
      <c r="AK55" s="25"/>
      <c r="AL55" s="22"/>
      <c r="AM55" s="25"/>
      <c r="AN55" s="22"/>
      <c r="AO55" s="25"/>
      <c r="AP55" s="22"/>
      <c r="AQ55" s="25"/>
      <c r="AR55" s="22"/>
      <c r="AS55" s="25"/>
      <c r="AT55" s="22"/>
      <c r="AU55" s="25"/>
      <c r="AV55" s="22"/>
      <c r="AW55"/>
      <c r="AX55" s="74">
        <f t="shared" si="2"/>
        <v>0</v>
      </c>
      <c r="AY55" s="22">
        <f t="shared" si="3"/>
        <v>0</v>
      </c>
    </row>
    <row r="56" spans="1:53" s="18" customFormat="1" x14ac:dyDescent="0.25">
      <c r="A56" s="12" t="s">
        <v>67</v>
      </c>
      <c r="B56" s="13"/>
      <c r="C56" s="14"/>
      <c r="D56" s="15">
        <f>SUM(D57:D58)</f>
        <v>5</v>
      </c>
      <c r="E56" s="14"/>
      <c r="F56" s="15">
        <f>SUM(F57:F58)</f>
        <v>0</v>
      </c>
      <c r="G56" s="14"/>
      <c r="H56" s="15">
        <f>SUM(H57:H58)</f>
        <v>4</v>
      </c>
      <c r="I56" s="14"/>
      <c r="J56" s="15">
        <f>SUM(J57:J58)</f>
        <v>5</v>
      </c>
      <c r="K56" s="70"/>
      <c r="L56" s="70">
        <f>SUM(L57:L58)</f>
        <v>0</v>
      </c>
      <c r="M56" s="14"/>
      <c r="N56" s="15">
        <f>SUM(N57:N58)</f>
        <v>7.5</v>
      </c>
      <c r="O56" s="14"/>
      <c r="P56" s="15">
        <f>SUM(P57:P58)</f>
        <v>4.5999999999999996</v>
      </c>
      <c r="Q56" s="14"/>
      <c r="R56" s="15">
        <f>SUM(R57:R58)</f>
        <v>0</v>
      </c>
      <c r="S56" s="14"/>
      <c r="T56" s="15">
        <f>SUM(T57:T58)</f>
        <v>15</v>
      </c>
      <c r="U56" s="14"/>
      <c r="V56" s="15">
        <f>SUM(V57:V58)</f>
        <v>4.5999999999999996</v>
      </c>
      <c r="W56" s="14"/>
      <c r="X56" s="15">
        <f>SUM(X57:X58)</f>
        <v>0</v>
      </c>
      <c r="Y56" s="14"/>
      <c r="Z56" s="15">
        <f>SUM(Z57:Z58)</f>
        <v>6.9</v>
      </c>
      <c r="AA56" s="14"/>
      <c r="AB56" s="15">
        <f>SUM(AB57:AB58)</f>
        <v>7.5</v>
      </c>
      <c r="AC56" s="14"/>
      <c r="AD56" s="15">
        <f>SUM(AD57:AD58)</f>
        <v>9.1999999999999993</v>
      </c>
      <c r="AE56" s="14"/>
      <c r="AF56" s="15">
        <f>SUM(AF57:AF58)</f>
        <v>2</v>
      </c>
      <c r="AG56" s="14"/>
      <c r="AH56" s="15">
        <f>SUM(AH57:AH58)</f>
        <v>2.5</v>
      </c>
      <c r="AI56" s="14"/>
      <c r="AJ56" s="15">
        <f>SUM(AJ57:AJ58)</f>
        <v>4.5999999999999996</v>
      </c>
      <c r="AK56" s="14"/>
      <c r="AL56" s="15">
        <f>SUM(AL57:AL58)</f>
        <v>2.2999999999999998</v>
      </c>
      <c r="AM56" s="14"/>
      <c r="AN56" s="15">
        <f>SUM(AN57:AN58)</f>
        <v>10</v>
      </c>
      <c r="AO56" s="14"/>
      <c r="AP56" s="15">
        <f>SUM(AP57:AP58)</f>
        <v>4.5999999999999996</v>
      </c>
      <c r="AQ56" s="14"/>
      <c r="AR56" s="15">
        <f>SUM(AR57:AR58)</f>
        <v>5</v>
      </c>
      <c r="AS56" s="14"/>
      <c r="AT56" s="15">
        <f>SUM(AT57:AT58)</f>
        <v>12.5</v>
      </c>
      <c r="AU56" s="14"/>
      <c r="AV56" s="15">
        <f>SUM(AV57:AV58)</f>
        <v>0</v>
      </c>
      <c r="AX56" s="71">
        <f t="shared" si="2"/>
        <v>112.8</v>
      </c>
      <c r="AY56" s="15">
        <f t="shared" si="3"/>
        <v>106.91943127962085</v>
      </c>
    </row>
    <row r="57" spans="1:53" x14ac:dyDescent="0.25">
      <c r="A57" s="19" t="s">
        <v>68</v>
      </c>
      <c r="B57" s="20" t="s">
        <v>69</v>
      </c>
      <c r="C57" s="21">
        <v>1</v>
      </c>
      <c r="D57" s="22">
        <v>2.5</v>
      </c>
      <c r="E57" s="21"/>
      <c r="F57" s="22"/>
      <c r="G57" s="21"/>
      <c r="H57" s="22">
        <v>4</v>
      </c>
      <c r="I57" s="21">
        <v>2</v>
      </c>
      <c r="J57" s="22">
        <v>5</v>
      </c>
      <c r="K57" s="24"/>
      <c r="L57" s="73"/>
      <c r="M57" s="21">
        <v>3</v>
      </c>
      <c r="N57" s="22">
        <v>7.5</v>
      </c>
      <c r="O57" s="21">
        <v>2</v>
      </c>
      <c r="P57" s="22">
        <v>4.5999999999999996</v>
      </c>
      <c r="Q57" s="21"/>
      <c r="R57" s="22"/>
      <c r="S57" s="21">
        <v>6</v>
      </c>
      <c r="T57" s="22">
        <v>15</v>
      </c>
      <c r="U57" s="21">
        <v>2</v>
      </c>
      <c r="V57" s="22">
        <v>4.5999999999999996</v>
      </c>
      <c r="W57" s="21"/>
      <c r="X57" s="22"/>
      <c r="Y57" s="21">
        <v>3</v>
      </c>
      <c r="Z57" s="22">
        <v>6.9</v>
      </c>
      <c r="AA57" s="21">
        <v>3</v>
      </c>
      <c r="AB57" s="22">
        <v>7.5</v>
      </c>
      <c r="AC57" s="21">
        <v>4</v>
      </c>
      <c r="AD57" s="22">
        <v>9.1999999999999993</v>
      </c>
      <c r="AE57" s="21"/>
      <c r="AF57" s="22">
        <v>2</v>
      </c>
      <c r="AG57" s="21">
        <v>1</v>
      </c>
      <c r="AH57" s="22">
        <v>2.5</v>
      </c>
      <c r="AI57" s="21">
        <v>2</v>
      </c>
      <c r="AJ57" s="22">
        <v>4.5999999999999996</v>
      </c>
      <c r="AK57" s="21">
        <v>1</v>
      </c>
      <c r="AL57" s="22">
        <v>2.2999999999999998</v>
      </c>
      <c r="AM57" s="21">
        <v>4</v>
      </c>
      <c r="AN57" s="22">
        <v>10</v>
      </c>
      <c r="AO57" s="21">
        <v>2</v>
      </c>
      <c r="AP57" s="22">
        <v>4.5999999999999996</v>
      </c>
      <c r="AQ57" s="21">
        <v>2</v>
      </c>
      <c r="AR57" s="22">
        <v>5</v>
      </c>
      <c r="AS57" s="21">
        <v>5</v>
      </c>
      <c r="AT57" s="22">
        <v>12.5</v>
      </c>
      <c r="AU57" s="21"/>
      <c r="AV57" s="22"/>
      <c r="AW57"/>
      <c r="AX57" s="74">
        <f>SUM(AV57,AT57,AR57,AP57,AL57,AJ57,AN57,AH57,AF57,AD57,AB57,Z57,X57,T57,V57,R57,P57,N57,L57,J57,H57,F57,D57)</f>
        <v>110.3</v>
      </c>
      <c r="AY57" s="22">
        <f t="shared" si="3"/>
        <v>104.54976303317535</v>
      </c>
      <c r="BA57" s="75"/>
    </row>
    <row r="58" spans="1:53" x14ac:dyDescent="0.25">
      <c r="A58" s="7" t="s">
        <v>70</v>
      </c>
      <c r="B58" s="8" t="s">
        <v>69</v>
      </c>
      <c r="C58" s="26">
        <v>1</v>
      </c>
      <c r="D58" s="10">
        <v>2.5</v>
      </c>
      <c r="E58" s="26"/>
      <c r="F58" s="10"/>
      <c r="G58" s="26"/>
      <c r="H58" s="10"/>
      <c r="I58" s="26"/>
      <c r="J58" s="10"/>
      <c r="K58" s="26"/>
      <c r="L58" s="68"/>
      <c r="M58" s="26"/>
      <c r="N58" s="10"/>
      <c r="O58" s="26"/>
      <c r="P58" s="10"/>
      <c r="Q58" s="26"/>
      <c r="R58" s="10"/>
      <c r="S58" s="26"/>
      <c r="T58" s="10"/>
      <c r="U58" s="26"/>
      <c r="V58" s="10"/>
      <c r="W58" s="26"/>
      <c r="X58" s="10"/>
      <c r="Y58" s="26"/>
      <c r="Z58" s="10"/>
      <c r="AA58" s="26"/>
      <c r="AB58" s="10"/>
      <c r="AC58" s="26"/>
      <c r="AD58" s="10"/>
      <c r="AE58" s="26"/>
      <c r="AF58" s="10"/>
      <c r="AG58" s="26"/>
      <c r="AH58" s="10"/>
      <c r="AI58" s="26"/>
      <c r="AJ58" s="10"/>
      <c r="AK58" s="26"/>
      <c r="AL58" s="10"/>
      <c r="AM58" s="26"/>
      <c r="AN58" s="10"/>
      <c r="AO58" s="26"/>
      <c r="AP58" s="10"/>
      <c r="AQ58" s="26"/>
      <c r="AR58" s="10"/>
      <c r="AS58" s="26"/>
      <c r="AT58" s="10"/>
      <c r="AU58" s="26"/>
      <c r="AV58" s="10"/>
      <c r="AW58"/>
      <c r="AX58" s="77">
        <f>SUM(AV58,AT58,AR58,AP58,AL58,AJ58,AN58,AH58,AF58,AD58,AB58,Z58,X58,T58,V58,R58,P58,N58,L58,J58,H58,F58,D58)</f>
        <v>2.5</v>
      </c>
      <c r="AY58" s="22">
        <f t="shared" si="3"/>
        <v>2.3696682464454977</v>
      </c>
    </row>
    <row r="59" spans="1:53" s="18" customFormat="1" x14ac:dyDescent="0.25">
      <c r="A59" s="12" t="s">
        <v>71</v>
      </c>
      <c r="B59" s="13"/>
      <c r="C59" s="14"/>
      <c r="D59" s="15">
        <f>SUM(D60:D60)</f>
        <v>8.65</v>
      </c>
      <c r="E59" s="14"/>
      <c r="F59" s="15">
        <f>SUM(F60:F60)</f>
        <v>0</v>
      </c>
      <c r="G59" s="14"/>
      <c r="H59" s="15">
        <f>SUM(H60:H60)</f>
        <v>0</v>
      </c>
      <c r="I59" s="14"/>
      <c r="J59" s="15">
        <f>SUM(J60:J60)</f>
        <v>9</v>
      </c>
      <c r="K59" s="70"/>
      <c r="L59" s="70"/>
      <c r="M59" s="14"/>
      <c r="N59" s="15">
        <f>SUM(N60:N60)</f>
        <v>6</v>
      </c>
      <c r="O59" s="14"/>
      <c r="P59" s="15">
        <f>SUM(P60:P60)</f>
        <v>6</v>
      </c>
      <c r="Q59" s="14"/>
      <c r="R59" s="15">
        <f>SUM(R60:R60)</f>
        <v>0</v>
      </c>
      <c r="S59" s="14"/>
      <c r="T59" s="15">
        <f>SUM(T60:T60)</f>
        <v>1.35</v>
      </c>
      <c r="U59" s="14"/>
      <c r="V59" s="15">
        <f>SUM(V60:V60)</f>
        <v>0</v>
      </c>
      <c r="W59" s="14"/>
      <c r="X59" s="15">
        <f>SUM(X60:X60)</f>
        <v>6</v>
      </c>
      <c r="Y59" s="14"/>
      <c r="Z59" s="15">
        <f>SUM(Z60:Z60)</f>
        <v>0</v>
      </c>
      <c r="AA59" s="14"/>
      <c r="AB59" s="15">
        <f>SUM(AB60:AB60)</f>
        <v>4</v>
      </c>
      <c r="AC59" s="14"/>
      <c r="AD59" s="15">
        <f>SUM(AD60:AD60)</f>
        <v>6.02</v>
      </c>
      <c r="AE59" s="14"/>
      <c r="AF59" s="15">
        <f>SUM(AF60:AF60)</f>
        <v>0</v>
      </c>
      <c r="AG59" s="14"/>
      <c r="AH59" s="15">
        <f>SUM(AH60:AH60)</f>
        <v>2</v>
      </c>
      <c r="AI59" s="14"/>
      <c r="AJ59" s="15">
        <f>SUM(AJ60:AJ60)</f>
        <v>0</v>
      </c>
      <c r="AK59" s="14"/>
      <c r="AL59" s="15">
        <f>SUM(AL60:AL60)</f>
        <v>0</v>
      </c>
      <c r="AM59" s="14"/>
      <c r="AN59" s="15">
        <f>SUM(AN60:AN60)</f>
        <v>3</v>
      </c>
      <c r="AO59" s="14"/>
      <c r="AP59" s="15">
        <f>SUM(AP60:AP60)</f>
        <v>0</v>
      </c>
      <c r="AQ59" s="14"/>
      <c r="AR59" s="15">
        <f>SUM(AR60:AR60)</f>
        <v>3.65</v>
      </c>
      <c r="AS59" s="14"/>
      <c r="AT59" s="15">
        <f>SUM(AT60:AT60)</f>
        <v>5</v>
      </c>
      <c r="AU59" s="14"/>
      <c r="AV59" s="15">
        <f>SUM(AV60:AV60)</f>
        <v>0</v>
      </c>
      <c r="AX59" s="84">
        <f>SUM(AV59,AT59,AR59,AP59,AL59,AJ59,AN59,AH59,AF59,AD59,AB59,Z59,X59,T59,V59,R59,P59,N59,L59,J59,H59,F59,D59)</f>
        <v>60.67</v>
      </c>
      <c r="AY59" s="84">
        <f t="shared" si="3"/>
        <v>57.507109004739341</v>
      </c>
    </row>
    <row r="60" spans="1:53" x14ac:dyDescent="0.25">
      <c r="A60" s="7" t="s">
        <v>72</v>
      </c>
      <c r="B60" s="8" t="s">
        <v>73</v>
      </c>
      <c r="C60" s="26">
        <v>24</v>
      </c>
      <c r="D60" s="10">
        <v>8.65</v>
      </c>
      <c r="E60" s="26"/>
      <c r="F60" s="10"/>
      <c r="G60" s="26"/>
      <c r="H60" s="10"/>
      <c r="I60" s="26">
        <v>30</v>
      </c>
      <c r="J60" s="10">
        <v>9</v>
      </c>
      <c r="K60" s="76"/>
      <c r="L60" s="68"/>
      <c r="M60" s="26">
        <v>18</v>
      </c>
      <c r="N60" s="10">
        <v>6</v>
      </c>
      <c r="O60" s="26"/>
      <c r="P60" s="10">
        <v>6</v>
      </c>
      <c r="Q60" s="26"/>
      <c r="R60" s="10"/>
      <c r="S60" s="26"/>
      <c r="T60" s="10">
        <v>1.35</v>
      </c>
      <c r="U60" s="26"/>
      <c r="V60" s="10"/>
      <c r="W60" s="26">
        <v>18</v>
      </c>
      <c r="X60" s="10">
        <v>6</v>
      </c>
      <c r="Y60" s="26"/>
      <c r="Z60" s="10"/>
      <c r="AA60" s="26"/>
      <c r="AB60" s="10">
        <v>4</v>
      </c>
      <c r="AC60" s="26"/>
      <c r="AD60" s="10">
        <v>6.02</v>
      </c>
      <c r="AE60" s="26"/>
      <c r="AF60" s="10"/>
      <c r="AG60" s="26"/>
      <c r="AH60" s="10">
        <v>2</v>
      </c>
      <c r="AI60" s="26"/>
      <c r="AJ60" s="10"/>
      <c r="AK60" s="26"/>
      <c r="AL60" s="10"/>
      <c r="AM60" s="26">
        <v>18</v>
      </c>
      <c r="AN60" s="10">
        <v>3</v>
      </c>
      <c r="AO60" s="26"/>
      <c r="AP60" s="10"/>
      <c r="AQ60" s="26"/>
      <c r="AR60" s="10">
        <v>3.65</v>
      </c>
      <c r="AS60" s="26">
        <v>3</v>
      </c>
      <c r="AT60" s="10">
        <v>5</v>
      </c>
      <c r="AU60" s="26"/>
      <c r="AV60" s="10"/>
      <c r="AW60"/>
      <c r="AX60" s="86">
        <f>SUM(AV60,AT60,AR60,AP60,AL60,AJ60,AN60,AH60,AF60,AD60,AB60,Z60,X60,T60,V60,R60,P60,N60,L60,J60,H60,F60,D60)</f>
        <v>60.67</v>
      </c>
      <c r="AY60" s="77">
        <f t="shared" si="3"/>
        <v>57.507109004739341</v>
      </c>
    </row>
    <row r="61" spans="1:53" s="30" customFormat="1" x14ac:dyDescent="0.25">
      <c r="A61" s="138" t="s">
        <v>74</v>
      </c>
      <c r="B61" s="138"/>
      <c r="C61" s="28"/>
      <c r="D61" s="29">
        <f>D3+D30+D47+D56+D59</f>
        <v>498.9799999999999</v>
      </c>
      <c r="E61" s="28"/>
      <c r="F61" s="29">
        <f>F3+F30+F47+F56+F59</f>
        <v>922.31000000000006</v>
      </c>
      <c r="G61" s="28"/>
      <c r="H61" s="29">
        <f>H3+H30+H47+H56+H59</f>
        <v>70.099999999999994</v>
      </c>
      <c r="I61" s="28"/>
      <c r="J61" s="29">
        <f>J3+J30+J47+J56+J59</f>
        <v>708.5</v>
      </c>
      <c r="K61" s="29"/>
      <c r="L61" s="29">
        <f>L3+L30+L47+L56+L59</f>
        <v>1094.2900000000002</v>
      </c>
      <c r="M61" s="28"/>
      <c r="N61" s="29">
        <f>N3+N30+N47+N56+N59</f>
        <v>415.2</v>
      </c>
      <c r="O61" s="28"/>
      <c r="P61" s="29">
        <f>P3+P30+P47+P56+P59</f>
        <v>1081.8</v>
      </c>
      <c r="Q61" s="28"/>
      <c r="R61" s="29">
        <f>R3+R30+R47+R56+R59</f>
        <v>70</v>
      </c>
      <c r="S61" s="28"/>
      <c r="T61" s="29">
        <f>T3+T30+T47+T56+T59</f>
        <v>728.9799999999999</v>
      </c>
      <c r="U61" s="28"/>
      <c r="V61" s="29">
        <f>V3+V30+V47+V56+V59</f>
        <v>1069.3399999999999</v>
      </c>
      <c r="W61" s="28"/>
      <c r="X61" s="29">
        <f>X3+X30+X47+X56+X59</f>
        <v>520.34</v>
      </c>
      <c r="Y61" s="28"/>
      <c r="Z61" s="29">
        <f>Z3+Z30+Z47+Z56+Z59</f>
        <v>1052.18</v>
      </c>
      <c r="AA61" s="28"/>
      <c r="AB61" s="29">
        <f>AB3+AB30+AB47+AB56+AB59</f>
        <v>710.55000000000007</v>
      </c>
      <c r="AC61" s="28"/>
      <c r="AD61" s="29">
        <f>AD3+AD30+AD47+AD56+AD59</f>
        <v>1304.1300000000001</v>
      </c>
      <c r="AE61" s="28"/>
      <c r="AF61" s="29">
        <f>AF3+AF30+AF47+AF56+AF59</f>
        <v>63</v>
      </c>
      <c r="AG61" s="28"/>
      <c r="AH61" s="29">
        <f>AH3+AH30+AH47+AH56+AH59</f>
        <v>472.30000000000007</v>
      </c>
      <c r="AI61" s="28"/>
      <c r="AJ61" s="29">
        <f>AJ3+AJ30+AJ47+AJ56+AJ59</f>
        <v>929.16000000000008</v>
      </c>
      <c r="AK61" s="28"/>
      <c r="AL61" s="29">
        <f>AL3+AL30+AL47+AL56+AL59</f>
        <v>953.12999999999988</v>
      </c>
      <c r="AM61" s="28"/>
      <c r="AN61" s="29">
        <f>AN3+AN30+AN47+AN56+AN59</f>
        <v>616.01</v>
      </c>
      <c r="AO61" s="28"/>
      <c r="AP61" s="29">
        <f>AP3+AP30+AP47+AP56+AP59</f>
        <v>946.57000000000016</v>
      </c>
      <c r="AQ61" s="28"/>
      <c r="AR61" s="29">
        <f>AR3+AR30+AR47+AR56+AR59</f>
        <v>335.63</v>
      </c>
      <c r="AS61" s="28"/>
      <c r="AT61" s="29">
        <f>AT3+AT30+AT47+AT56+AT59</f>
        <v>280.66000000000003</v>
      </c>
      <c r="AU61" s="28"/>
      <c r="AV61" s="29">
        <f>AV3+AV30+AV47+AV56+AV59</f>
        <v>0</v>
      </c>
      <c r="AW61" s="29"/>
      <c r="AX61" s="29">
        <f>SUM(D61,F61,H61,J61,L61,N61,P61,R61,T61,V61,X61,Z61,AB61,AD61,AF61,AH61,AJ61,AL61,AN61,AP61,AR61,AT61,AV61)</f>
        <v>14843.159999999998</v>
      </c>
      <c r="AY61" s="29">
        <f t="shared" si="3"/>
        <v>14069.34597156398</v>
      </c>
      <c r="AZ61" s="29">
        <f>SUM(AX4:AX29,AX31:AX45,AX48:AX54,AX57:AX58)</f>
        <v>14674.82</v>
      </c>
    </row>
    <row r="62" spans="1:53" x14ac:dyDescent="0.2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Y62" s="78"/>
    </row>
    <row r="63" spans="1:53" x14ac:dyDescent="0.25">
      <c r="A63" s="139" t="s">
        <v>75</v>
      </c>
      <c r="B63" s="33" t="s">
        <v>76</v>
      </c>
      <c r="C63" s="34"/>
      <c r="D63" s="35">
        <f>488-27.32</f>
        <v>460.68</v>
      </c>
      <c r="E63" s="34"/>
      <c r="F63" s="36">
        <f>810-14.67</f>
        <v>795.33</v>
      </c>
      <c r="G63" s="34"/>
      <c r="H63" s="37">
        <v>70</v>
      </c>
      <c r="I63" s="34"/>
      <c r="J63" s="37">
        <f>765-67.83</f>
        <v>697.17</v>
      </c>
      <c r="K63" s="36"/>
      <c r="L63" s="36">
        <f>1085.58-43.47</f>
        <v>1042.1099999999999</v>
      </c>
      <c r="M63" s="34"/>
      <c r="N63" s="37">
        <f>455-39.46</f>
        <v>415.54</v>
      </c>
      <c r="O63" s="34"/>
      <c r="P63" s="37">
        <f>970+20.1-51.48</f>
        <v>938.62</v>
      </c>
      <c r="Q63" s="34"/>
      <c r="R63" s="36">
        <v>70</v>
      </c>
      <c r="S63" s="34"/>
      <c r="T63" s="37">
        <f>798-96.52</f>
        <v>701.48</v>
      </c>
      <c r="U63" s="34"/>
      <c r="V63" s="37">
        <f>1025-66.63</f>
        <v>958.37</v>
      </c>
      <c r="W63" s="34"/>
      <c r="X63" s="37">
        <f>555-34.39</f>
        <v>520.61</v>
      </c>
      <c r="Y63" s="34"/>
      <c r="Z63" s="37">
        <f>1036.3-56.1</f>
        <v>980.19999999999993</v>
      </c>
      <c r="AA63" s="34"/>
      <c r="AB63" s="37">
        <f>797-86.26</f>
        <v>710.74</v>
      </c>
      <c r="AC63" s="34"/>
      <c r="AD63" s="37">
        <f>1250-74.58</f>
        <v>1175.42</v>
      </c>
      <c r="AE63" s="34"/>
      <c r="AF63" s="37"/>
      <c r="AG63" s="34"/>
      <c r="AH63" s="37">
        <f>512-40.08</f>
        <v>471.92</v>
      </c>
      <c r="AI63" s="34"/>
      <c r="AJ63" s="37">
        <f>894.1-51.87</f>
        <v>842.23</v>
      </c>
      <c r="AK63" s="34"/>
      <c r="AL63" s="37">
        <f>880-42.74</f>
        <v>837.26</v>
      </c>
      <c r="AM63" s="34"/>
      <c r="AN63" s="37">
        <f>682-73.07</f>
        <v>608.93000000000006</v>
      </c>
      <c r="AO63" s="34"/>
      <c r="AP63" s="37">
        <f>881-59.92</f>
        <v>821.08</v>
      </c>
      <c r="AQ63" s="34"/>
      <c r="AR63" s="37">
        <f>391-56</f>
        <v>335</v>
      </c>
      <c r="AS63" s="34"/>
      <c r="AT63" s="37">
        <f>321-40.28</f>
        <v>280.72000000000003</v>
      </c>
      <c r="AU63" s="34"/>
      <c r="AV63" s="37"/>
      <c r="AW63" s="79"/>
      <c r="AX63" s="87">
        <f>SUM(D63,F63,H63,J63,L63,N63,P63,R63,T63,V63,X63,Z63,AB63,AD63,AF63,AH63,AJ63,AL63,AN63,AP63,AR63,AT63,AV63)</f>
        <v>13733.41</v>
      </c>
      <c r="AY63" s="37">
        <f>AX63/1.055</f>
        <v>13017.450236966824</v>
      </c>
    </row>
    <row r="64" spans="1:53" x14ac:dyDescent="0.25">
      <c r="A64" s="139"/>
      <c r="B64" s="38" t="s">
        <v>77</v>
      </c>
      <c r="C64" s="39">
        <v>2</v>
      </c>
      <c r="D64" s="40">
        <v>38.450000000000003</v>
      </c>
      <c r="E64" s="39">
        <v>5</v>
      </c>
      <c r="F64" s="41">
        <v>126.94</v>
      </c>
      <c r="G64" s="39"/>
      <c r="H64" s="42"/>
      <c r="I64" s="39">
        <v>1</v>
      </c>
      <c r="J64" s="42">
        <v>11.5</v>
      </c>
      <c r="K64" s="88">
        <v>3</v>
      </c>
      <c r="L64" s="41">
        <v>52.5</v>
      </c>
      <c r="M64" s="39"/>
      <c r="N64" s="42"/>
      <c r="O64" s="39">
        <v>5</v>
      </c>
      <c r="P64" s="42">
        <v>142.93</v>
      </c>
      <c r="Q64" s="43"/>
      <c r="R64" s="41"/>
      <c r="S64" s="39">
        <v>1</v>
      </c>
      <c r="T64" s="42">
        <v>26.7</v>
      </c>
      <c r="U64" s="39">
        <v>6</v>
      </c>
      <c r="V64" s="42">
        <v>111.49</v>
      </c>
      <c r="W64" s="39"/>
      <c r="X64" s="42"/>
      <c r="Y64" s="39">
        <v>4</v>
      </c>
      <c r="Z64" s="42">
        <v>72.25</v>
      </c>
      <c r="AA64" s="39"/>
      <c r="AB64" s="42"/>
      <c r="AC64" s="39">
        <v>5</v>
      </c>
      <c r="AD64" s="42">
        <v>128.72</v>
      </c>
      <c r="AE64" s="39"/>
      <c r="AF64" s="42"/>
      <c r="AG64" s="39"/>
      <c r="AH64" s="42"/>
      <c r="AI64" s="39">
        <v>4</v>
      </c>
      <c r="AJ64" s="42">
        <v>87.45</v>
      </c>
      <c r="AK64" s="39">
        <v>7</v>
      </c>
      <c r="AL64" s="42">
        <v>116.18</v>
      </c>
      <c r="AM64" s="39">
        <v>1</v>
      </c>
      <c r="AN64" s="42">
        <v>7.09</v>
      </c>
      <c r="AO64" s="39">
        <v>6</v>
      </c>
      <c r="AP64" s="42">
        <v>125.85</v>
      </c>
      <c r="AQ64" s="39"/>
      <c r="AR64" s="42"/>
      <c r="AS64" s="39"/>
      <c r="AT64" s="42"/>
      <c r="AU64" s="39"/>
      <c r="AV64" s="42"/>
      <c r="AW64" s="80">
        <f>SUM(C64,E64,G64,I64,K64,M64,O64,Q64,S64,U64,W64,Y64,AA64,AC64,AE64,AG64,AI64,AK64,AM64,AO64,AQ64,AS64,AU64)</f>
        <v>50</v>
      </c>
      <c r="AX64" s="89">
        <f>SUM(D64,F64,H64,J64,L64,N64,P64,R64,T64,V64,X64,Z64,AB64,AD64,AF64,AH64,AJ64,AL64,AN64,AP64,AR64,AT64,AV64)</f>
        <v>1048.0500000000002</v>
      </c>
      <c r="AY64" s="42">
        <f>AX64/1.055</f>
        <v>993.41232227488172</v>
      </c>
    </row>
    <row r="65" spans="1:51" x14ac:dyDescent="0.25">
      <c r="A65" s="139"/>
      <c r="B65" s="38" t="s">
        <v>157</v>
      </c>
      <c r="C65" s="43"/>
      <c r="D65" s="40"/>
      <c r="E65" s="43"/>
      <c r="F65" s="41"/>
      <c r="G65" s="43"/>
      <c r="H65" s="42"/>
      <c r="I65" s="43"/>
      <c r="J65" s="42"/>
      <c r="K65" s="41"/>
      <c r="L65" s="41"/>
      <c r="M65" s="43"/>
      <c r="N65" s="42"/>
      <c r="O65" s="43"/>
      <c r="P65" s="42"/>
      <c r="Q65" s="43"/>
      <c r="R65" s="41"/>
      <c r="S65" s="43"/>
      <c r="T65" s="42"/>
      <c r="U65" s="43"/>
      <c r="V65" s="42"/>
      <c r="W65" s="43"/>
      <c r="X65" s="42"/>
      <c r="Y65" s="43"/>
      <c r="Z65" s="42"/>
      <c r="AA65" s="43"/>
      <c r="AB65" s="42"/>
      <c r="AC65" s="43"/>
      <c r="AD65" s="42"/>
      <c r="AE65" s="43"/>
      <c r="AF65" s="42"/>
      <c r="AG65" s="43"/>
      <c r="AH65" s="42"/>
      <c r="AI65" s="43"/>
      <c r="AJ65" s="42"/>
      <c r="AK65" s="43"/>
      <c r="AL65" s="42"/>
      <c r="AM65" s="43"/>
      <c r="AN65" s="42"/>
      <c r="AO65" s="43"/>
      <c r="AP65" s="42"/>
      <c r="AQ65" s="43"/>
      <c r="AR65" s="42"/>
      <c r="AS65" s="43"/>
      <c r="AT65" s="42"/>
      <c r="AU65" s="43"/>
      <c r="AV65" s="42"/>
      <c r="AW65" s="81"/>
      <c r="AX65" s="43"/>
      <c r="AY65" s="42"/>
    </row>
    <row r="66" spans="1:51" s="51" customFormat="1" x14ac:dyDescent="0.25">
      <c r="A66" s="139"/>
      <c r="B66" s="44" t="s">
        <v>78</v>
      </c>
      <c r="C66" s="45"/>
      <c r="D66" s="46">
        <f>SUM(D63:D65)</f>
        <v>499.13</v>
      </c>
      <c r="E66" s="45"/>
      <c r="F66" s="47">
        <f>SUM(F63:F65)</f>
        <v>922.27</v>
      </c>
      <c r="G66" s="45"/>
      <c r="H66" s="48">
        <f>SUM(H63:H65)</f>
        <v>70</v>
      </c>
      <c r="I66" s="45"/>
      <c r="J66" s="48">
        <f>SUM(J63:J65)</f>
        <v>708.67</v>
      </c>
      <c r="K66" s="47"/>
      <c r="L66" s="47">
        <f>SUM(L63:L65)</f>
        <v>1094.6099999999999</v>
      </c>
      <c r="M66" s="45"/>
      <c r="N66" s="48">
        <f>SUM(N63:N65)</f>
        <v>415.54</v>
      </c>
      <c r="O66" s="45"/>
      <c r="P66" s="48">
        <f>SUM(P63:P65)</f>
        <v>1081.55</v>
      </c>
      <c r="Q66" s="45"/>
      <c r="R66" s="47">
        <f>SUM(R63:R65)</f>
        <v>70</v>
      </c>
      <c r="S66" s="45"/>
      <c r="T66" s="48">
        <f>SUM(T63:T65)</f>
        <v>728.18000000000006</v>
      </c>
      <c r="U66" s="45"/>
      <c r="V66" s="48">
        <f>SUM(V63:V65)</f>
        <v>1069.8599999999999</v>
      </c>
      <c r="W66" s="45"/>
      <c r="X66" s="48">
        <f>SUM(X63:X65)</f>
        <v>520.61</v>
      </c>
      <c r="Y66" s="45"/>
      <c r="Z66" s="48">
        <f>SUM(Z63:Z65)</f>
        <v>1052.4499999999998</v>
      </c>
      <c r="AA66" s="45"/>
      <c r="AB66" s="48">
        <f>SUM(AB63:AB65)</f>
        <v>710.74</v>
      </c>
      <c r="AC66" s="45"/>
      <c r="AD66" s="48">
        <f>SUM(AD63:AD65)</f>
        <v>1304.1400000000001</v>
      </c>
      <c r="AE66" s="45"/>
      <c r="AF66" s="48">
        <f>SUM(AF63:AF65)</f>
        <v>0</v>
      </c>
      <c r="AG66" s="45"/>
      <c r="AH66" s="48">
        <f>SUM(AH63:AH65)</f>
        <v>471.92</v>
      </c>
      <c r="AI66" s="45"/>
      <c r="AJ66" s="48">
        <f>SUM(AJ63:AJ65)</f>
        <v>929.68000000000006</v>
      </c>
      <c r="AK66" s="45"/>
      <c r="AL66" s="48">
        <f>SUM(AL63:AL65)</f>
        <v>953.44</v>
      </c>
      <c r="AM66" s="45"/>
      <c r="AN66" s="48">
        <f>SUM(AN63:AN65)</f>
        <v>616.0200000000001</v>
      </c>
      <c r="AO66" s="45"/>
      <c r="AP66" s="48">
        <f>SUM(AP63:AP65)</f>
        <v>946.93000000000006</v>
      </c>
      <c r="AQ66" s="45"/>
      <c r="AR66" s="48">
        <f>SUM(AR63:AR65)</f>
        <v>335</v>
      </c>
      <c r="AS66" s="45"/>
      <c r="AT66" s="48">
        <f>SUM(AT63:AT65)</f>
        <v>280.72000000000003</v>
      </c>
      <c r="AU66" s="45"/>
      <c r="AV66" s="48">
        <f>SUM(AV63:AV65)</f>
        <v>0</v>
      </c>
      <c r="AW66" s="82"/>
      <c r="AX66" s="90">
        <f>SUM(AX63:AX65)</f>
        <v>14781.46</v>
      </c>
      <c r="AY66" s="48">
        <f>SUM(AY63:AY65)</f>
        <v>14010.862559241707</v>
      </c>
    </row>
    <row r="67" spans="1:51" ht="15" customHeight="1" x14ac:dyDescent="0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83"/>
      <c r="N67" s="83"/>
      <c r="O67" s="147"/>
      <c r="P67" s="147"/>
      <c r="Q67" s="83"/>
      <c r="R67" s="83"/>
      <c r="S67" s="83"/>
      <c r="T67" s="83"/>
      <c r="U67" s="83"/>
      <c r="V67" s="83"/>
      <c r="W67" s="32"/>
      <c r="X67" s="32"/>
      <c r="Y67" s="32"/>
      <c r="Z67" s="32"/>
      <c r="AA67" s="32"/>
      <c r="AB67" s="32"/>
      <c r="AC67" s="32"/>
      <c r="AD67" s="32"/>
      <c r="AE67" s="66"/>
      <c r="AF67" s="66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</sheetData>
  <autoFilter ref="AX1:AY61"/>
  <mergeCells count="28">
    <mergeCell ref="A61:B61"/>
    <mergeCell ref="A63:A66"/>
    <mergeCell ref="O67:P67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0833333333333304" right="0.70833333333333304" top="0.74861111111111101" bottom="0.74791666666666701" header="0.31527777777777799" footer="0.51180555555555496"/>
  <pageSetup paperSize="0" scale="0" firstPageNumber="0" orientation="portrait" usePrinterDefaults="0" horizontalDpi="0" verticalDpi="0" copies="0"/>
  <headerFooter>
    <oddHeader>&amp;C&amp;F :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FFFF"/>
  </sheetPr>
  <dimension ref="A1:BC70"/>
  <sheetViews>
    <sheetView windowProtection="1" zoomScaleNormal="100" workbookViewId="0">
      <pane xSplit="2" ySplit="2" topLeftCell="AR42" activePane="bottomRight" state="frozen"/>
      <selection pane="topRight" activeCell="AR1" sqref="AR1"/>
      <selection pane="bottomLeft" activeCell="A42" sqref="A42"/>
      <selection pane="bottomRight" activeCell="Q1" sqref="Q1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.85546875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42578125" style="2"/>
    <col min="37" max="37" width="8.7109375" style="1"/>
    <col min="38" max="38" width="11.710937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8" width="11.42578125" style="2"/>
    <col min="49" max="49" width="8.7109375" style="1"/>
    <col min="50" max="51" width="11.42578125" style="2"/>
    <col min="52" max="52" width="11.85546875"/>
    <col min="53" max="53" width="12.85546875"/>
    <col min="54" max="1025" width="10.7109375"/>
  </cols>
  <sheetData>
    <row r="1" spans="1:53" s="6" customFormat="1" ht="28.5" customHeight="1" x14ac:dyDescent="0.25">
      <c r="A1" s="3"/>
      <c r="B1" s="4" t="s">
        <v>0</v>
      </c>
      <c r="C1" s="136" t="s">
        <v>158</v>
      </c>
      <c r="D1" s="136"/>
      <c r="E1" s="136" t="s">
        <v>159</v>
      </c>
      <c r="F1" s="136"/>
      <c r="G1" s="136" t="s">
        <v>160</v>
      </c>
      <c r="H1" s="136"/>
      <c r="I1" s="136" t="s">
        <v>161</v>
      </c>
      <c r="J1" s="136"/>
      <c r="K1" s="145" t="s">
        <v>162</v>
      </c>
      <c r="L1" s="145"/>
      <c r="M1" s="136" t="s">
        <v>163</v>
      </c>
      <c r="N1" s="136"/>
      <c r="O1" s="136" t="s">
        <v>164</v>
      </c>
      <c r="P1" s="136"/>
      <c r="Q1" s="136" t="s">
        <v>165</v>
      </c>
      <c r="R1" s="136"/>
      <c r="S1" s="136" t="s">
        <v>166</v>
      </c>
      <c r="T1" s="136"/>
      <c r="U1" s="145" t="s">
        <v>167</v>
      </c>
      <c r="V1" s="145"/>
      <c r="W1" s="136" t="s">
        <v>168</v>
      </c>
      <c r="X1" s="136"/>
      <c r="Y1" s="136" t="s">
        <v>169</v>
      </c>
      <c r="Z1" s="136"/>
      <c r="AA1" s="136" t="s">
        <v>170</v>
      </c>
      <c r="AB1" s="136"/>
      <c r="AC1" s="136" t="s">
        <v>171</v>
      </c>
      <c r="AD1" s="136"/>
      <c r="AE1" s="136" t="s">
        <v>172</v>
      </c>
      <c r="AF1" s="136"/>
      <c r="AG1" s="136" t="s">
        <v>173</v>
      </c>
      <c r="AH1" s="136"/>
      <c r="AI1" s="136" t="s">
        <v>174</v>
      </c>
      <c r="AJ1" s="136"/>
      <c r="AK1" s="136" t="s">
        <v>175</v>
      </c>
      <c r="AL1" s="136"/>
      <c r="AM1" s="136" t="s">
        <v>176</v>
      </c>
      <c r="AN1" s="136"/>
      <c r="AO1" s="136" t="s">
        <v>177</v>
      </c>
      <c r="AP1" s="136"/>
      <c r="AQ1" s="136" t="s">
        <v>178</v>
      </c>
      <c r="AR1" s="136"/>
      <c r="AS1" s="136"/>
      <c r="AT1" s="136"/>
      <c r="AU1" s="136"/>
      <c r="AV1" s="136"/>
      <c r="AW1" s="136"/>
      <c r="AX1" s="136"/>
      <c r="AY1" s="67"/>
      <c r="AZ1" s="146" t="s">
        <v>20</v>
      </c>
      <c r="BA1" s="146" t="s">
        <v>21</v>
      </c>
    </row>
    <row r="2" spans="1:53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68"/>
      <c r="V2" s="68"/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9" t="s">
        <v>22</v>
      </c>
      <c r="AX2" s="10" t="s">
        <v>23</v>
      </c>
      <c r="AY2" s="69"/>
      <c r="AZ2" s="146"/>
      <c r="BA2" s="146"/>
    </row>
    <row r="3" spans="1:53" s="18" customFormat="1" x14ac:dyDescent="0.25">
      <c r="A3" s="12" t="s">
        <v>24</v>
      </c>
      <c r="B3" s="13"/>
      <c r="C3" s="14"/>
      <c r="D3" s="15">
        <f>SUM(D4:D30)</f>
        <v>1002.16</v>
      </c>
      <c r="E3" s="14"/>
      <c r="F3" s="15">
        <f>SUM(F4:F30)</f>
        <v>282.02000000000004</v>
      </c>
      <c r="G3" s="14"/>
      <c r="H3" s="15">
        <f>SUM(H4:H30)</f>
        <v>765.42</v>
      </c>
      <c r="I3" s="14"/>
      <c r="J3" s="15">
        <f>SUM(J4:J30)</f>
        <v>247.29</v>
      </c>
      <c r="K3" s="70"/>
      <c r="L3" s="70">
        <f>SUM(L4:L30)</f>
        <v>1021.98</v>
      </c>
      <c r="M3" s="14"/>
      <c r="N3" s="15">
        <f>SUM(N4:N30)</f>
        <v>313.53000000000003</v>
      </c>
      <c r="O3" s="14"/>
      <c r="P3" s="15">
        <f>SUM(P4:P30)</f>
        <v>753.91000000000008</v>
      </c>
      <c r="Q3" s="14"/>
      <c r="R3" s="15">
        <f>SUM(R4:R30)</f>
        <v>25.849999999999998</v>
      </c>
      <c r="S3" s="14"/>
      <c r="T3" s="15">
        <f>SUM(T4:T30)</f>
        <v>44.45</v>
      </c>
      <c r="U3" s="70"/>
      <c r="V3" s="70">
        <f>SUM(V4:V30)</f>
        <v>33.44</v>
      </c>
      <c r="W3" s="14"/>
      <c r="X3" s="15">
        <f>SUM(X4:X30)</f>
        <v>171.95000000000002</v>
      </c>
      <c r="Y3" s="14"/>
      <c r="Z3" s="15">
        <f>SUM(Z4:Z30)</f>
        <v>1135.6499999999999</v>
      </c>
      <c r="AA3" s="14"/>
      <c r="AB3" s="15">
        <f>SUM(AB4:AB30)</f>
        <v>343.59999999999997</v>
      </c>
      <c r="AC3" s="14"/>
      <c r="AD3" s="15">
        <f>SUM(AD4:AD30)</f>
        <v>23.75</v>
      </c>
      <c r="AE3" s="14"/>
      <c r="AF3" s="15">
        <f>SUM(AF4:AF30)</f>
        <v>796.96000000000015</v>
      </c>
      <c r="AG3" s="14"/>
      <c r="AH3" s="15">
        <f>SUM(AH4:AH30)</f>
        <v>219.98</v>
      </c>
      <c r="AI3" s="14"/>
      <c r="AJ3" s="15">
        <f>SUM(AJ4:AJ30)</f>
        <v>857.7700000000001</v>
      </c>
      <c r="AK3" s="14"/>
      <c r="AL3" s="15">
        <f>SUM(AL4:AL30)</f>
        <v>233.84</v>
      </c>
      <c r="AM3" s="14"/>
      <c r="AN3" s="15">
        <f>SUM(AN4:AN30)</f>
        <v>22.99</v>
      </c>
      <c r="AO3" s="14"/>
      <c r="AP3" s="15">
        <f>SUM(AP4:AP30)</f>
        <v>206.92000000000002</v>
      </c>
      <c r="AQ3" s="14"/>
      <c r="AR3" s="15">
        <f>SUM(AR4:AR30)</f>
        <v>756.08</v>
      </c>
      <c r="AS3" s="14"/>
      <c r="AT3" s="15">
        <f>SUM(AT4:AT30)</f>
        <v>0</v>
      </c>
      <c r="AU3" s="14"/>
      <c r="AV3" s="15">
        <f>SUM(AV4:AV30)</f>
        <v>0</v>
      </c>
      <c r="AW3" s="14"/>
      <c r="AX3" s="15">
        <f>SUM(AX4:AX30)</f>
        <v>0</v>
      </c>
      <c r="AZ3" s="84">
        <f t="shared" ref="AZ3:AZ34" si="0">SUM(AX3,AV3,AT3,AR3,AP3,AN3,AL3,AJ3,AH3,AF3,AD3,AB3,Z3,X3,T3,R3,P3,N3,L3,J3,H3,F3,D3)</f>
        <v>9226.0999999999985</v>
      </c>
      <c r="BA3" s="15">
        <f t="shared" ref="BA3:BA34" si="1">AZ3/1.055</f>
        <v>8745.1184834123214</v>
      </c>
    </row>
    <row r="4" spans="1:53" x14ac:dyDescent="0.25">
      <c r="A4" s="19" t="s">
        <v>25</v>
      </c>
      <c r="B4" s="20" t="s">
        <v>26</v>
      </c>
      <c r="C4" s="21">
        <f>22+2*12+3*7+2</f>
        <v>69</v>
      </c>
      <c r="D4" s="2">
        <f>77+84+70+6.6</f>
        <v>237.6</v>
      </c>
      <c r="E4" s="21"/>
      <c r="F4" s="22">
        <v>70</v>
      </c>
      <c r="G4" s="21">
        <f>17+2*7+3*5+1</f>
        <v>47</v>
      </c>
      <c r="H4" s="22">
        <f>59.5+49+50+3.3</f>
        <v>161.80000000000001</v>
      </c>
      <c r="I4" s="21">
        <v>15</v>
      </c>
      <c r="J4" s="22">
        <v>52.5</v>
      </c>
      <c r="K4" s="72">
        <f>10+2*3+3*3+3</f>
        <v>28</v>
      </c>
      <c r="L4" s="73">
        <f>35+21+30+9.9</f>
        <v>95.9</v>
      </c>
      <c r="M4" s="21">
        <v>20</v>
      </c>
      <c r="N4" s="22">
        <v>70</v>
      </c>
      <c r="O4" s="21">
        <f>11+2*8+3*5+2</f>
        <v>44</v>
      </c>
      <c r="P4" s="22">
        <f>38.5+56+50+6.6</f>
        <v>151.1</v>
      </c>
      <c r="Q4" s="21"/>
      <c r="R4" s="22">
        <v>8.5</v>
      </c>
      <c r="S4" s="21"/>
      <c r="T4" s="22">
        <v>11.5</v>
      </c>
      <c r="U4" s="73"/>
      <c r="V4" s="73">
        <v>11.5</v>
      </c>
      <c r="W4" s="21">
        <v>12</v>
      </c>
      <c r="X4" s="22">
        <v>42</v>
      </c>
      <c r="Y4" s="21">
        <f>23+2*7+3*6+3</f>
        <v>58</v>
      </c>
      <c r="Z4" s="22">
        <f>80.5+49+60+9.9</f>
        <v>199.4</v>
      </c>
      <c r="AA4" s="21">
        <v>17</v>
      </c>
      <c r="AB4" s="22">
        <v>59.5</v>
      </c>
      <c r="AC4" s="21"/>
      <c r="AD4" s="22">
        <v>8.5</v>
      </c>
      <c r="AE4" s="21">
        <f>11+2*6+3*4</f>
        <v>35</v>
      </c>
      <c r="AF4" s="22">
        <f>38.5+42+40</f>
        <v>120.5</v>
      </c>
      <c r="AG4" s="21">
        <v>9</v>
      </c>
      <c r="AH4" s="22">
        <v>56</v>
      </c>
      <c r="AI4" s="21">
        <f>28+2*15+3*1+4</f>
        <v>65</v>
      </c>
      <c r="AJ4" s="22">
        <f>98+105+10+13.2-18</f>
        <v>208.2</v>
      </c>
      <c r="AK4" s="21">
        <v>13</v>
      </c>
      <c r="AL4" s="22">
        <v>45.5</v>
      </c>
      <c r="AM4" s="21">
        <v>6</v>
      </c>
      <c r="AN4" s="22">
        <v>17.5</v>
      </c>
      <c r="AO4" s="21"/>
      <c r="AP4" s="22">
        <v>35</v>
      </c>
      <c r="AQ4" s="21">
        <f>27+2*7+2*2</f>
        <v>45</v>
      </c>
      <c r="AR4" s="22">
        <f>94.5+49+20</f>
        <v>163.5</v>
      </c>
      <c r="AS4" s="21"/>
      <c r="AT4" s="22"/>
      <c r="AU4" s="21"/>
      <c r="AV4" s="22"/>
      <c r="AW4" s="21"/>
      <c r="AX4" s="22"/>
      <c r="AY4"/>
      <c r="AZ4" s="74">
        <f t="shared" si="0"/>
        <v>1814.5</v>
      </c>
      <c r="BA4" s="22">
        <f t="shared" si="1"/>
        <v>1719.9052132701422</v>
      </c>
    </row>
    <row r="5" spans="1:53" x14ac:dyDescent="0.25">
      <c r="A5" s="19" t="s">
        <v>27</v>
      </c>
      <c r="B5" s="20" t="s">
        <v>26</v>
      </c>
      <c r="C5" s="21">
        <f>15+2*6+3*5</f>
        <v>42</v>
      </c>
      <c r="D5" s="22">
        <f>49.5+39.6+47.5</f>
        <v>136.6</v>
      </c>
      <c r="E5" s="21"/>
      <c r="F5" s="22">
        <v>59.4</v>
      </c>
      <c r="G5" s="21">
        <f>6+2*3+3*3</f>
        <v>21</v>
      </c>
      <c r="H5" s="22">
        <f>19.8+19.8+28.5</f>
        <v>68.099999999999994</v>
      </c>
      <c r="I5" s="21">
        <v>13</v>
      </c>
      <c r="J5" s="22">
        <v>42.8</v>
      </c>
      <c r="K5" s="72">
        <f>13+2*5+3*7+2</f>
        <v>46</v>
      </c>
      <c r="L5" s="73">
        <f>42.9+33+66.5+6.2</f>
        <v>148.6</v>
      </c>
      <c r="M5" s="21">
        <v>16</v>
      </c>
      <c r="N5" s="22">
        <v>52.8</v>
      </c>
      <c r="O5" s="21">
        <f>6+2*4+3*6</f>
        <v>32</v>
      </c>
      <c r="P5" s="22">
        <f>19.8+26.4+57</f>
        <v>103.2</v>
      </c>
      <c r="Q5" s="21"/>
      <c r="R5" s="22"/>
      <c r="S5" s="21"/>
      <c r="T5" s="22"/>
      <c r="U5" s="73"/>
      <c r="V5" s="73"/>
      <c r="W5" s="21">
        <v>8</v>
      </c>
      <c r="X5" s="22">
        <v>26.4</v>
      </c>
      <c r="Y5" s="21">
        <f>30+2*7+3*7</f>
        <v>65</v>
      </c>
      <c r="Z5" s="22">
        <f>99+46.2+66.5</f>
        <v>211.7</v>
      </c>
      <c r="AA5" s="21">
        <v>18</v>
      </c>
      <c r="AB5" s="22">
        <v>59.4</v>
      </c>
      <c r="AC5" s="21"/>
      <c r="AD5" s="22"/>
      <c r="AE5" s="21">
        <f>9+2*2+3*6+1</f>
        <v>32</v>
      </c>
      <c r="AF5" s="22">
        <f>29.7+13.2+57+3.1</f>
        <v>103</v>
      </c>
      <c r="AG5" s="21">
        <v>13</v>
      </c>
      <c r="AH5" s="22">
        <v>19.8</v>
      </c>
      <c r="AI5" s="21">
        <f>21+2*10+3*12-17</f>
        <v>60</v>
      </c>
      <c r="AJ5" s="22">
        <f>69.3+66+114-50</f>
        <v>199.3</v>
      </c>
      <c r="AK5" s="21">
        <v>9</v>
      </c>
      <c r="AL5" s="22">
        <v>29.7</v>
      </c>
      <c r="AM5" s="21"/>
      <c r="AN5" s="22"/>
      <c r="AO5" s="21"/>
      <c r="AP5" s="22">
        <v>49.5</v>
      </c>
      <c r="AQ5" s="21">
        <f>14+2*9+3*4+6</f>
        <v>50</v>
      </c>
      <c r="AR5" s="22">
        <f>44.78+59.4+38+18.6</f>
        <v>160.78</v>
      </c>
      <c r="AS5" s="21"/>
      <c r="AT5" s="22"/>
      <c r="AU5" s="21"/>
      <c r="AV5" s="22"/>
      <c r="AW5" s="21"/>
      <c r="AX5" s="22"/>
      <c r="AY5"/>
      <c r="AZ5" s="74">
        <f t="shared" si="0"/>
        <v>1471.0799999999997</v>
      </c>
      <c r="BA5" s="22">
        <f t="shared" si="1"/>
        <v>1394.3886255924169</v>
      </c>
    </row>
    <row r="6" spans="1:53" x14ac:dyDescent="0.25">
      <c r="A6" s="19" t="s">
        <v>28</v>
      </c>
      <c r="B6" s="20" t="s">
        <v>26</v>
      </c>
      <c r="C6" s="21"/>
      <c r="D6" s="22"/>
      <c r="E6" s="21"/>
      <c r="F6" s="22">
        <v>10</v>
      </c>
      <c r="G6" s="21"/>
      <c r="H6" s="22"/>
      <c r="I6" s="21">
        <v>3</v>
      </c>
      <c r="J6" s="22">
        <v>8.6999999999999993</v>
      </c>
      <c r="K6" s="72">
        <v>12</v>
      </c>
      <c r="L6" s="73">
        <v>24</v>
      </c>
      <c r="M6" s="21">
        <v>3</v>
      </c>
      <c r="N6" s="22">
        <v>10</v>
      </c>
      <c r="O6" s="21"/>
      <c r="P6" s="22"/>
      <c r="Q6" s="21"/>
      <c r="R6" s="22"/>
      <c r="S6" s="21"/>
      <c r="T6" s="22"/>
      <c r="U6" s="73"/>
      <c r="V6" s="73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1">
        <v>1</v>
      </c>
      <c r="AJ6" s="22">
        <v>2</v>
      </c>
      <c r="AK6" s="24"/>
      <c r="AL6" s="22"/>
      <c r="AM6" s="21"/>
      <c r="AN6" s="22"/>
      <c r="AO6" s="21"/>
      <c r="AP6" s="22">
        <v>13.2</v>
      </c>
      <c r="AQ6" s="21"/>
      <c r="AR6" s="22"/>
      <c r="AS6" s="21"/>
      <c r="AT6" s="22"/>
      <c r="AU6" s="21"/>
      <c r="AV6" s="22"/>
      <c r="AW6" s="21"/>
      <c r="AX6" s="22"/>
      <c r="AY6"/>
      <c r="AZ6" s="74">
        <f t="shared" si="0"/>
        <v>67.900000000000006</v>
      </c>
      <c r="BA6" s="22">
        <f t="shared" si="1"/>
        <v>64.360189573459721</v>
      </c>
    </row>
    <row r="7" spans="1:53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85"/>
      <c r="L7" s="73"/>
      <c r="M7" s="21"/>
      <c r="N7" s="22"/>
      <c r="O7" s="21"/>
      <c r="P7" s="22"/>
      <c r="Q7" s="21"/>
      <c r="R7" s="22"/>
      <c r="S7" s="21"/>
      <c r="T7" s="22"/>
      <c r="U7" s="73"/>
      <c r="V7" s="73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 s="21"/>
      <c r="AX7" s="22"/>
      <c r="AY7"/>
      <c r="AZ7" s="74">
        <f t="shared" si="0"/>
        <v>0</v>
      </c>
      <c r="BA7" s="22">
        <f t="shared" si="1"/>
        <v>0</v>
      </c>
    </row>
    <row r="8" spans="1:53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73"/>
      <c r="V8" s="73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 s="21"/>
      <c r="AX8" s="22"/>
      <c r="AY8"/>
      <c r="AZ8" s="74">
        <f t="shared" si="0"/>
        <v>0</v>
      </c>
      <c r="BA8" s="22">
        <f t="shared" si="1"/>
        <v>0</v>
      </c>
    </row>
    <row r="9" spans="1:53" x14ac:dyDescent="0.25">
      <c r="A9" s="19" t="s">
        <v>104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73"/>
      <c r="V9" s="73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 s="21"/>
      <c r="AX9" s="22"/>
      <c r="AY9"/>
      <c r="AZ9" s="74">
        <f t="shared" si="0"/>
        <v>0</v>
      </c>
      <c r="BA9" s="22">
        <f t="shared" si="1"/>
        <v>0</v>
      </c>
    </row>
    <row r="10" spans="1:53" x14ac:dyDescent="0.25">
      <c r="A10" s="19" t="s">
        <v>31</v>
      </c>
      <c r="B10" s="20" t="s">
        <v>26</v>
      </c>
      <c r="C10" s="21">
        <v>11</v>
      </c>
      <c r="D10" s="22">
        <v>38.5</v>
      </c>
      <c r="E10" s="21"/>
      <c r="F10" s="22">
        <v>14</v>
      </c>
      <c r="G10" s="21">
        <v>15</v>
      </c>
      <c r="H10" s="22">
        <v>52.5</v>
      </c>
      <c r="I10" s="21"/>
      <c r="J10" s="22"/>
      <c r="K10" s="72">
        <v>15</v>
      </c>
      <c r="L10" s="73">
        <v>52.5</v>
      </c>
      <c r="M10" s="21">
        <v>5</v>
      </c>
      <c r="N10" s="22">
        <v>17.5</v>
      </c>
      <c r="O10" s="21">
        <v>14</v>
      </c>
      <c r="P10" s="22">
        <v>49</v>
      </c>
      <c r="Q10" s="21"/>
      <c r="R10" s="22">
        <v>11.4</v>
      </c>
      <c r="S10" s="21"/>
      <c r="T10" s="22"/>
      <c r="U10" s="73"/>
      <c r="V10" s="73"/>
      <c r="W10" s="21"/>
      <c r="X10" s="22">
        <v>7</v>
      </c>
      <c r="Y10" s="21">
        <v>8</v>
      </c>
      <c r="Z10" s="22">
        <v>28</v>
      </c>
      <c r="AA10" s="21">
        <v>7</v>
      </c>
      <c r="AB10" s="22">
        <v>24.5</v>
      </c>
      <c r="AC10" s="21"/>
      <c r="AD10" s="22"/>
      <c r="AE10" s="21">
        <v>15</v>
      </c>
      <c r="AF10" s="22">
        <v>52.5</v>
      </c>
      <c r="AG10" s="21"/>
      <c r="AH10" s="22"/>
      <c r="AI10" s="21">
        <v>8</v>
      </c>
      <c r="AJ10" s="22">
        <v>28</v>
      </c>
      <c r="AK10" s="21">
        <v>7</v>
      </c>
      <c r="AL10" s="22">
        <v>24.5</v>
      </c>
      <c r="AM10" s="21"/>
      <c r="AN10" s="22"/>
      <c r="AO10" s="21">
        <v>3</v>
      </c>
      <c r="AP10" s="22">
        <v>10.5</v>
      </c>
      <c r="AQ10" s="21">
        <v>6</v>
      </c>
      <c r="AR10" s="22">
        <v>21</v>
      </c>
      <c r="AS10" s="21"/>
      <c r="AT10" s="22"/>
      <c r="AU10" s="21"/>
      <c r="AV10" s="22"/>
      <c r="AW10" s="21"/>
      <c r="AX10" s="22"/>
      <c r="AY10"/>
      <c r="AZ10" s="74">
        <f t="shared" si="0"/>
        <v>431.4</v>
      </c>
      <c r="BA10" s="22">
        <f t="shared" si="1"/>
        <v>408.9099526066351</v>
      </c>
    </row>
    <row r="11" spans="1:53" x14ac:dyDescent="0.25">
      <c r="A11" s="19" t="s">
        <v>103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85"/>
      <c r="L11" s="73"/>
      <c r="M11" s="21"/>
      <c r="N11" s="22"/>
      <c r="O11" s="21"/>
      <c r="P11" s="22"/>
      <c r="Q11" s="21"/>
      <c r="R11" s="22"/>
      <c r="S11" s="21"/>
      <c r="T11" s="22"/>
      <c r="U11" s="73"/>
      <c r="V11" s="73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 s="21"/>
      <c r="AX11" s="22"/>
      <c r="AY11"/>
      <c r="AZ11" s="74">
        <f t="shared" si="0"/>
        <v>0</v>
      </c>
      <c r="BA11" s="22">
        <f t="shared" si="1"/>
        <v>0</v>
      </c>
    </row>
    <row r="12" spans="1:53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5"/>
      <c r="P12" s="22"/>
      <c r="Q12" s="21"/>
      <c r="R12" s="22"/>
      <c r="S12" s="21"/>
      <c r="T12" s="22"/>
      <c r="U12" s="73"/>
      <c r="V12" s="73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 s="21"/>
      <c r="AX12" s="22"/>
      <c r="AY12"/>
      <c r="AZ12" s="74">
        <f t="shared" si="0"/>
        <v>0</v>
      </c>
      <c r="BA12" s="22">
        <f t="shared" si="1"/>
        <v>0</v>
      </c>
    </row>
    <row r="13" spans="1:53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5"/>
      <c r="R13" s="22"/>
      <c r="S13" s="21"/>
      <c r="T13" s="22"/>
      <c r="U13" s="73"/>
      <c r="V13" s="73"/>
      <c r="W13" s="25"/>
      <c r="X13" s="22"/>
      <c r="Y13" s="21"/>
      <c r="Z13" s="22"/>
      <c r="AA13" s="21"/>
      <c r="AB13" s="22"/>
      <c r="AC13" s="25"/>
      <c r="AD13" s="22"/>
      <c r="AE13" s="21"/>
      <c r="AF13" s="22"/>
      <c r="AG13" s="21"/>
      <c r="AH13" s="22"/>
      <c r="AI13" s="25"/>
      <c r="AJ13" s="22"/>
      <c r="AK13" s="21"/>
      <c r="AL13" s="22"/>
      <c r="AM13" s="25"/>
      <c r="AN13" s="22"/>
      <c r="AO13" s="21"/>
      <c r="AP13" s="22"/>
      <c r="AQ13" s="25"/>
      <c r="AR13" s="22"/>
      <c r="AS13" s="21"/>
      <c r="AT13" s="22"/>
      <c r="AU13" s="21"/>
      <c r="AV13" s="22"/>
      <c r="AW13" s="25"/>
      <c r="AX13" s="22"/>
      <c r="AY13"/>
      <c r="AZ13" s="74">
        <f t="shared" si="0"/>
        <v>0</v>
      </c>
      <c r="BA13" s="22">
        <f t="shared" si="1"/>
        <v>0</v>
      </c>
    </row>
    <row r="14" spans="1:53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85"/>
      <c r="L14" s="73"/>
      <c r="M14" s="21"/>
      <c r="N14" s="22"/>
      <c r="O14" s="21"/>
      <c r="P14" s="22"/>
      <c r="Q14" s="25"/>
      <c r="R14" s="22"/>
      <c r="S14" s="21"/>
      <c r="T14" s="22"/>
      <c r="U14" s="73"/>
      <c r="V14" s="73"/>
      <c r="W14" s="25"/>
      <c r="X14" s="22"/>
      <c r="Y14" s="21"/>
      <c r="Z14" s="22"/>
      <c r="AA14" s="21"/>
      <c r="AB14" s="22"/>
      <c r="AC14" s="25"/>
      <c r="AD14" s="22"/>
      <c r="AE14" s="21"/>
      <c r="AF14" s="22"/>
      <c r="AG14" s="21"/>
      <c r="AH14" s="22"/>
      <c r="AI14" s="25"/>
      <c r="AJ14" s="22"/>
      <c r="AK14" s="21"/>
      <c r="AL14" s="22"/>
      <c r="AM14" s="25"/>
      <c r="AN14" s="22"/>
      <c r="AO14" s="21"/>
      <c r="AP14" s="22"/>
      <c r="AQ14" s="25"/>
      <c r="AR14" s="22"/>
      <c r="AS14" s="21"/>
      <c r="AT14" s="22"/>
      <c r="AU14" s="21"/>
      <c r="AV14" s="22"/>
      <c r="AW14" s="25"/>
      <c r="AX14" s="22"/>
      <c r="AY14"/>
      <c r="AZ14" s="74">
        <f t="shared" si="0"/>
        <v>0</v>
      </c>
      <c r="BA14" s="22">
        <f t="shared" si="1"/>
        <v>0</v>
      </c>
    </row>
    <row r="15" spans="1:53" x14ac:dyDescent="0.25">
      <c r="A15" s="19" t="s">
        <v>33</v>
      </c>
      <c r="B15" s="20" t="s">
        <v>34</v>
      </c>
      <c r="C15" s="25"/>
      <c r="D15" s="22"/>
      <c r="E15" s="25"/>
      <c r="F15" s="22">
        <v>2.8</v>
      </c>
      <c r="G15" s="25"/>
      <c r="H15" s="22"/>
      <c r="I15" s="25"/>
      <c r="J15" s="22"/>
      <c r="K15" s="85"/>
      <c r="L15" s="73"/>
      <c r="M15" s="25"/>
      <c r="N15" s="22">
        <v>6.46</v>
      </c>
      <c r="O15" s="25"/>
      <c r="P15" s="22"/>
      <c r="Q15" s="25"/>
      <c r="R15" s="22"/>
      <c r="S15" s="25"/>
      <c r="T15" s="22"/>
      <c r="U15" s="73"/>
      <c r="V15" s="73"/>
      <c r="W15" s="25"/>
      <c r="X15" s="22">
        <v>6.75</v>
      </c>
      <c r="Y15" s="25"/>
      <c r="Z15" s="22"/>
      <c r="AA15" s="25"/>
      <c r="AB15" s="22">
        <v>42.59</v>
      </c>
      <c r="AC15" s="25"/>
      <c r="AD15" s="22"/>
      <c r="AE15" s="25"/>
      <c r="AF15" s="22"/>
      <c r="AG15" s="25"/>
      <c r="AH15" s="22">
        <v>19.12</v>
      </c>
      <c r="AI15" s="25"/>
      <c r="AJ15" s="22"/>
      <c r="AK15" s="25"/>
      <c r="AL15" s="22">
        <v>16.440000000000001</v>
      </c>
      <c r="AM15" s="25"/>
      <c r="AN15" s="22"/>
      <c r="AO15" s="25"/>
      <c r="AP15" s="22">
        <v>21.54</v>
      </c>
      <c r="AQ15" s="25"/>
      <c r="AR15" s="22"/>
      <c r="AS15" s="25"/>
      <c r="AT15" s="22"/>
      <c r="AU15" s="25"/>
      <c r="AV15" s="22"/>
      <c r="AW15" s="25"/>
      <c r="AX15" s="22"/>
      <c r="AY15"/>
      <c r="AZ15" s="74">
        <f t="shared" si="0"/>
        <v>115.7</v>
      </c>
      <c r="BA15" s="22">
        <f t="shared" si="1"/>
        <v>109.66824644549764</v>
      </c>
    </row>
    <row r="16" spans="1:53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73"/>
      <c r="V16" s="73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 s="25"/>
      <c r="AX16" s="22"/>
      <c r="AY16"/>
      <c r="AZ16" s="74">
        <f t="shared" si="0"/>
        <v>0</v>
      </c>
      <c r="BA16" s="22">
        <f t="shared" si="1"/>
        <v>0</v>
      </c>
    </row>
    <row r="17" spans="1:53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>
        <v>1.37</v>
      </c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73"/>
      <c r="V17" s="73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>
        <v>2.38</v>
      </c>
      <c r="AQ17" s="25"/>
      <c r="AR17" s="22"/>
      <c r="AS17" s="25"/>
      <c r="AT17" s="22"/>
      <c r="AU17" s="25"/>
      <c r="AV17" s="22"/>
      <c r="AW17" s="25"/>
      <c r="AX17" s="22"/>
      <c r="AY17"/>
      <c r="AZ17" s="74">
        <f t="shared" si="0"/>
        <v>3.75</v>
      </c>
      <c r="BA17" s="22">
        <f t="shared" si="1"/>
        <v>3.5545023696682465</v>
      </c>
    </row>
    <row r="18" spans="1:53" x14ac:dyDescent="0.25">
      <c r="A18" s="19" t="s">
        <v>37</v>
      </c>
      <c r="B18" s="20" t="s">
        <v>34</v>
      </c>
      <c r="C18" s="25">
        <v>14.635</v>
      </c>
      <c r="D18" s="22">
        <v>57.1</v>
      </c>
      <c r="E18" s="25"/>
      <c r="F18" s="22">
        <v>20.27</v>
      </c>
      <c r="G18" s="25">
        <v>12.965</v>
      </c>
      <c r="H18" s="22">
        <f>50.56+15</f>
        <v>65.56</v>
      </c>
      <c r="I18" s="25"/>
      <c r="J18" s="22">
        <v>5.78</v>
      </c>
      <c r="K18" s="85">
        <v>18.484999999999999</v>
      </c>
      <c r="L18" s="73">
        <v>72.12</v>
      </c>
      <c r="M18" s="25"/>
      <c r="N18" s="22">
        <v>19.22</v>
      </c>
      <c r="O18" s="25">
        <v>13.425000000000001</v>
      </c>
      <c r="P18" s="22">
        <f>52.35+4</f>
        <v>56.35</v>
      </c>
      <c r="Q18" s="25"/>
      <c r="R18" s="22"/>
      <c r="S18" s="25"/>
      <c r="T18" s="22">
        <v>11.45</v>
      </c>
      <c r="U18" s="73"/>
      <c r="V18" s="73">
        <v>6.29</v>
      </c>
      <c r="W18" s="25"/>
      <c r="X18" s="22">
        <v>3.39</v>
      </c>
      <c r="Y18" s="25">
        <v>9.1199999999999992</v>
      </c>
      <c r="Z18" s="22">
        <v>35.549999999999997</v>
      </c>
      <c r="AA18" s="25"/>
      <c r="AB18" s="22">
        <v>14.45</v>
      </c>
      <c r="AC18" s="25"/>
      <c r="AD18" s="22"/>
      <c r="AE18" s="25">
        <v>5.12</v>
      </c>
      <c r="AF18" s="22">
        <f>19.97+20</f>
        <v>39.97</v>
      </c>
      <c r="AG18" s="25"/>
      <c r="AH18" s="22">
        <v>2.02</v>
      </c>
      <c r="AI18" s="25"/>
      <c r="AJ18" s="22"/>
      <c r="AK18" s="25"/>
      <c r="AL18" s="22"/>
      <c r="AM18" s="25"/>
      <c r="AN18" s="22"/>
      <c r="AO18" s="25"/>
      <c r="AP18" s="22"/>
      <c r="AQ18" s="25">
        <v>16.015000000000001</v>
      </c>
      <c r="AR18" s="22">
        <v>62.48</v>
      </c>
      <c r="AS18" s="25"/>
      <c r="AT18" s="22"/>
      <c r="AU18" s="25"/>
      <c r="AV18" s="22"/>
      <c r="AW18" s="25"/>
      <c r="AX18" s="22"/>
      <c r="AY18"/>
      <c r="AZ18" s="74">
        <f t="shared" si="0"/>
        <v>465.71</v>
      </c>
      <c r="BA18" s="22">
        <f t="shared" si="1"/>
        <v>441.4312796208531</v>
      </c>
    </row>
    <row r="19" spans="1:53" x14ac:dyDescent="0.25">
      <c r="A19" s="19" t="s">
        <v>38</v>
      </c>
      <c r="B19" s="20" t="s">
        <v>34</v>
      </c>
      <c r="C19" s="25">
        <v>45.305</v>
      </c>
      <c r="D19" s="22">
        <v>176.67</v>
      </c>
      <c r="E19" s="25"/>
      <c r="F19" s="22">
        <v>27.29</v>
      </c>
      <c r="G19" s="25">
        <v>26.08</v>
      </c>
      <c r="H19" s="22">
        <v>101.73</v>
      </c>
      <c r="I19" s="25"/>
      <c r="J19" s="22">
        <v>16.79</v>
      </c>
      <c r="K19" s="85">
        <v>35.270000000000003</v>
      </c>
      <c r="L19" s="73">
        <f>137.6+20+6</f>
        <v>163.6</v>
      </c>
      <c r="M19" s="25"/>
      <c r="N19" s="22">
        <v>20.309999999999999</v>
      </c>
      <c r="O19" s="25">
        <v>27.635000000000002</v>
      </c>
      <c r="P19" s="22">
        <v>107.78</v>
      </c>
      <c r="Q19" s="25"/>
      <c r="R19" s="22">
        <v>1.75</v>
      </c>
      <c r="S19" s="25"/>
      <c r="T19" s="22"/>
      <c r="U19" s="73"/>
      <c r="V19" s="73"/>
      <c r="W19" s="25"/>
      <c r="X19" s="22">
        <v>7.06</v>
      </c>
      <c r="Y19" s="25">
        <v>37.1</v>
      </c>
      <c r="Z19" s="22">
        <f>144.71+47</f>
        <v>191.71</v>
      </c>
      <c r="AA19" s="25"/>
      <c r="AB19" s="22">
        <v>22.88</v>
      </c>
      <c r="AC19" s="25"/>
      <c r="AD19" s="22"/>
      <c r="AE19" s="25">
        <v>18.510000000000002</v>
      </c>
      <c r="AF19" s="22">
        <f>72.18+20</f>
        <v>92.18</v>
      </c>
      <c r="AG19" s="25"/>
      <c r="AH19" s="22">
        <v>7.97</v>
      </c>
      <c r="AI19" s="25"/>
      <c r="AJ19" s="22"/>
      <c r="AK19" s="25"/>
      <c r="AL19" s="22">
        <v>5.07</v>
      </c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 s="25"/>
      <c r="AX19" s="22"/>
      <c r="AY19"/>
      <c r="AZ19" s="74">
        <f t="shared" si="0"/>
        <v>942.78999999999985</v>
      </c>
      <c r="BA19" s="22">
        <f t="shared" si="1"/>
        <v>893.63981042654018</v>
      </c>
    </row>
    <row r="20" spans="1:53" x14ac:dyDescent="0.25">
      <c r="A20" s="19" t="s">
        <v>39</v>
      </c>
      <c r="B20" s="20" t="s">
        <v>34</v>
      </c>
      <c r="C20" s="1">
        <v>33.44</v>
      </c>
      <c r="D20" s="22">
        <v>165.51</v>
      </c>
      <c r="E20"/>
      <c r="F20" s="22">
        <v>44.88</v>
      </c>
      <c r="G20" s="1">
        <v>27.074999999999999</v>
      </c>
      <c r="H20" s="22">
        <v>134.02000000000001</v>
      </c>
      <c r="I20"/>
      <c r="J20" s="22">
        <f>31.15+10</f>
        <v>41.15</v>
      </c>
      <c r="K20" s="85">
        <v>43.325000000000003</v>
      </c>
      <c r="L20" s="22">
        <v>214.42</v>
      </c>
      <c r="M20"/>
      <c r="N20" s="22">
        <v>68.48</v>
      </c>
      <c r="O20" s="1">
        <v>23.754999999999999</v>
      </c>
      <c r="P20" s="22">
        <v>117.59</v>
      </c>
      <c r="Q20"/>
      <c r="R20" s="22"/>
      <c r="S20"/>
      <c r="T20" s="22">
        <v>10.61</v>
      </c>
      <c r="U20" s="73"/>
      <c r="V20" s="22">
        <v>6.07</v>
      </c>
      <c r="W20"/>
      <c r="X20" s="22">
        <v>44.08</v>
      </c>
      <c r="Y20" s="1">
        <v>33.924999999999997</v>
      </c>
      <c r="Z20" s="22">
        <v>167.89</v>
      </c>
      <c r="AA20"/>
      <c r="AB20" s="22">
        <v>29.11</v>
      </c>
      <c r="AC20"/>
      <c r="AD20" s="22">
        <f>3+2</f>
        <v>5</v>
      </c>
      <c r="AE20" s="1">
        <v>22.024999999999999</v>
      </c>
      <c r="AF20" s="22">
        <f>109.01+20</f>
        <v>129.01</v>
      </c>
      <c r="AG20"/>
      <c r="AH20" s="22">
        <v>19.36</v>
      </c>
      <c r="AI20" s="1">
        <v>31.72</v>
      </c>
      <c r="AJ20" s="22">
        <v>156.99</v>
      </c>
      <c r="AK20"/>
      <c r="AL20" s="22">
        <v>38</v>
      </c>
      <c r="AM20"/>
      <c r="AN20" s="22"/>
      <c r="AO20"/>
      <c r="AP20" s="22"/>
      <c r="AQ20"/>
      <c r="AR20" s="22"/>
      <c r="AS20"/>
      <c r="AT20" s="22"/>
      <c r="AU20"/>
      <c r="AV20" s="22"/>
      <c r="AW20"/>
      <c r="AX20" s="22"/>
      <c r="AY20"/>
      <c r="AZ20" s="74">
        <f t="shared" si="0"/>
        <v>1386.1000000000001</v>
      </c>
      <c r="BA20" s="22">
        <f t="shared" si="1"/>
        <v>1313.838862559242</v>
      </c>
    </row>
    <row r="21" spans="1:53" x14ac:dyDescent="0.25">
      <c r="A21" s="19" t="s">
        <v>40</v>
      </c>
      <c r="B21" s="20" t="s">
        <v>34</v>
      </c>
      <c r="C21" s="25">
        <v>20.765000000000001</v>
      </c>
      <c r="D21" s="22">
        <f>93.49+17</f>
        <v>110.49</v>
      </c>
      <c r="E21" s="25"/>
      <c r="F21" s="22">
        <v>23.01</v>
      </c>
      <c r="G21" s="25">
        <f>7.47+8.17</f>
        <v>15.64</v>
      </c>
      <c r="H21" s="22">
        <f>36.98+36.8</f>
        <v>73.78</v>
      </c>
      <c r="I21" s="25"/>
      <c r="J21" s="22">
        <f>47.37+10</f>
        <v>57.37</v>
      </c>
      <c r="K21" s="85">
        <f>23.33+0.28</f>
        <v>23.61</v>
      </c>
      <c r="L21" s="73">
        <f>115.49+1.26</f>
        <v>116.75</v>
      </c>
      <c r="M21" s="25"/>
      <c r="N21" s="22">
        <v>32.700000000000003</v>
      </c>
      <c r="O21" s="25">
        <v>21.32</v>
      </c>
      <c r="P21" s="22">
        <v>105.54</v>
      </c>
      <c r="Q21" s="25"/>
      <c r="R21" s="22"/>
      <c r="S21" s="25"/>
      <c r="T21" s="22"/>
      <c r="U21" s="73"/>
      <c r="V21" s="73">
        <v>2.41</v>
      </c>
      <c r="W21" s="25"/>
      <c r="X21" s="22">
        <v>23.09</v>
      </c>
      <c r="Y21" s="25">
        <v>49.26</v>
      </c>
      <c r="Z21" s="22">
        <v>221.79</v>
      </c>
      <c r="AA21" s="25"/>
      <c r="AB21" s="22">
        <v>42</v>
      </c>
      <c r="AC21" s="25"/>
      <c r="AD21" s="22">
        <f>5.75+2</f>
        <v>7.75</v>
      </c>
      <c r="AE21" s="25">
        <f>24.275+0.875</f>
        <v>25.15</v>
      </c>
      <c r="AF21" s="22">
        <f>120.17+3.94+1.5</f>
        <v>125.61</v>
      </c>
      <c r="AG21" s="25"/>
      <c r="AH21" s="22">
        <f>34.42+6.5</f>
        <v>40.92</v>
      </c>
      <c r="AI21" s="25">
        <f>0.775+2.905+26.785+3.46-6.5</f>
        <v>27.424999999999997</v>
      </c>
      <c r="AJ21" s="22">
        <f>4.65+14.38+120.59+15.57-30</f>
        <v>125.19</v>
      </c>
      <c r="AK21" s="25"/>
      <c r="AL21" s="22">
        <v>55</v>
      </c>
      <c r="AM21" s="25"/>
      <c r="AN21" s="22"/>
      <c r="AO21" s="25"/>
      <c r="AP21" s="22">
        <v>37.549999999999997</v>
      </c>
      <c r="AQ21" s="25">
        <v>27.715</v>
      </c>
      <c r="AR21" s="22">
        <f>124.74+20</f>
        <v>144.74</v>
      </c>
      <c r="AS21" s="25"/>
      <c r="AT21" s="22"/>
      <c r="AU21" s="25"/>
      <c r="AV21" s="22"/>
      <c r="AW21" s="25"/>
      <c r="AX21" s="22"/>
      <c r="AY21"/>
      <c r="AZ21" s="74">
        <f t="shared" si="0"/>
        <v>1343.28</v>
      </c>
      <c r="BA21" s="22">
        <f t="shared" si="1"/>
        <v>1273.2511848341233</v>
      </c>
    </row>
    <row r="22" spans="1:53" x14ac:dyDescent="0.25">
      <c r="A22" s="19" t="s">
        <v>30</v>
      </c>
      <c r="B22" s="20" t="s">
        <v>26</v>
      </c>
      <c r="C22" s="21">
        <v>16</v>
      </c>
      <c r="D22" s="22">
        <v>46.4</v>
      </c>
      <c r="E22" s="21"/>
      <c r="F22" s="22">
        <v>5.8</v>
      </c>
      <c r="G22" s="21">
        <v>7</v>
      </c>
      <c r="H22" s="22">
        <v>20.3</v>
      </c>
      <c r="I22" s="21"/>
      <c r="J22" s="22"/>
      <c r="K22" s="72">
        <v>4</v>
      </c>
      <c r="L22" s="73">
        <v>11.6</v>
      </c>
      <c r="M22" s="21">
        <v>1</v>
      </c>
      <c r="N22" s="22">
        <v>2.9</v>
      </c>
      <c r="O22" s="21">
        <v>4</v>
      </c>
      <c r="P22" s="22">
        <v>11.6</v>
      </c>
      <c r="Q22" s="21"/>
      <c r="R22" s="22"/>
      <c r="S22" s="21"/>
      <c r="T22" s="22"/>
      <c r="U22" s="73"/>
      <c r="V22" s="73"/>
      <c r="W22" s="21"/>
      <c r="X22" s="22">
        <v>5.8</v>
      </c>
      <c r="Y22" s="21">
        <v>2</v>
      </c>
      <c r="Z22" s="22">
        <v>5.8</v>
      </c>
      <c r="AA22" s="21">
        <v>1</v>
      </c>
      <c r="AB22" s="22">
        <v>2.9</v>
      </c>
      <c r="AC22" s="21"/>
      <c r="AD22" s="22"/>
      <c r="AE22" s="21"/>
      <c r="AF22" s="22"/>
      <c r="AG22" s="21"/>
      <c r="AH22" s="22"/>
      <c r="AI22" s="21">
        <v>1</v>
      </c>
      <c r="AJ22" s="22">
        <v>2.9</v>
      </c>
      <c r="AK22" s="21"/>
      <c r="AL22" s="22">
        <v>3.5</v>
      </c>
      <c r="AM22" s="21"/>
      <c r="AN22" s="22"/>
      <c r="AO22" s="21">
        <v>2</v>
      </c>
      <c r="AP22" s="22">
        <v>5.8</v>
      </c>
      <c r="AQ22" s="21">
        <v>3</v>
      </c>
      <c r="AR22" s="22">
        <v>8.6999999999999993</v>
      </c>
      <c r="AS22" s="21"/>
      <c r="AT22" s="22"/>
      <c r="AU22" s="21"/>
      <c r="AV22" s="22"/>
      <c r="AW22" s="21"/>
      <c r="AX22" s="22"/>
      <c r="AY22"/>
      <c r="AZ22" s="74">
        <f t="shared" si="0"/>
        <v>134</v>
      </c>
      <c r="BA22" s="22">
        <f t="shared" si="1"/>
        <v>127.01421800947868</v>
      </c>
    </row>
    <row r="23" spans="1:53" x14ac:dyDescent="0.25">
      <c r="A23" s="19" t="s">
        <v>105</v>
      </c>
      <c r="B23" s="20" t="s">
        <v>26</v>
      </c>
      <c r="C23" s="21"/>
      <c r="D23" s="22"/>
      <c r="E23" s="21"/>
      <c r="F23" s="22"/>
      <c r="G23" s="21"/>
      <c r="H23" s="22"/>
      <c r="I23" s="21"/>
      <c r="J23" s="22"/>
      <c r="K23" s="85"/>
      <c r="L23" s="73"/>
      <c r="M23" s="21"/>
      <c r="N23" s="22"/>
      <c r="O23" s="21"/>
      <c r="P23" s="22"/>
      <c r="Q23" s="21"/>
      <c r="R23" s="22"/>
      <c r="S23" s="21"/>
      <c r="T23" s="22"/>
      <c r="U23" s="73"/>
      <c r="V23" s="73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 s="21"/>
      <c r="AX23" s="22"/>
      <c r="AY23"/>
      <c r="AZ23" s="74">
        <f t="shared" si="0"/>
        <v>0</v>
      </c>
      <c r="BA23" s="22">
        <f t="shared" si="1"/>
        <v>0</v>
      </c>
    </row>
    <row r="24" spans="1:53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85"/>
      <c r="L24" s="73"/>
      <c r="M24" s="25"/>
      <c r="N24" s="22"/>
      <c r="O24" s="25"/>
      <c r="P24" s="22"/>
      <c r="Q24" s="25"/>
      <c r="R24" s="22"/>
      <c r="S24" s="25"/>
      <c r="T24" s="22">
        <v>4</v>
      </c>
      <c r="U24" s="73"/>
      <c r="V24" s="73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U24" s="25"/>
      <c r="AV24" s="22"/>
      <c r="AW24" s="25"/>
      <c r="AX24" s="22"/>
      <c r="AY24"/>
      <c r="AZ24" s="74">
        <f t="shared" si="0"/>
        <v>4</v>
      </c>
      <c r="BA24" s="22">
        <f t="shared" si="1"/>
        <v>3.7914691943127963</v>
      </c>
    </row>
    <row r="25" spans="1:53" x14ac:dyDescent="0.25">
      <c r="A25" s="19" t="s">
        <v>42</v>
      </c>
      <c r="B25" s="20" t="s">
        <v>34</v>
      </c>
      <c r="C25" s="25">
        <v>11.475</v>
      </c>
      <c r="D25" s="22">
        <v>33.29</v>
      </c>
      <c r="E25" s="25"/>
      <c r="F25" s="22">
        <v>4.57</v>
      </c>
      <c r="G25" s="25">
        <v>22.46</v>
      </c>
      <c r="H25" s="22">
        <v>65.150000000000006</v>
      </c>
      <c r="I25" s="25"/>
      <c r="J25" s="22">
        <v>18.010000000000002</v>
      </c>
      <c r="K25" s="85">
        <v>36.020000000000003</v>
      </c>
      <c r="L25" s="73">
        <v>104.46</v>
      </c>
      <c r="M25" s="25"/>
      <c r="N25" s="22">
        <v>13.16</v>
      </c>
      <c r="O25" s="25">
        <v>17.835000000000001</v>
      </c>
      <c r="P25" s="22">
        <v>51.75</v>
      </c>
      <c r="Q25" s="25"/>
      <c r="R25" s="22">
        <v>4.2</v>
      </c>
      <c r="S25" s="25"/>
      <c r="T25" s="22">
        <v>6.89</v>
      </c>
      <c r="U25" s="73"/>
      <c r="V25" s="73">
        <v>7.17</v>
      </c>
      <c r="W25" s="25"/>
      <c r="X25" s="22">
        <v>6.38</v>
      </c>
      <c r="Y25" s="25">
        <v>21.065000000000001</v>
      </c>
      <c r="Z25" s="22">
        <v>61.11</v>
      </c>
      <c r="AA25" s="25"/>
      <c r="AB25" s="22">
        <v>8.86</v>
      </c>
      <c r="AC25" s="25"/>
      <c r="AD25" s="22">
        <v>2.5</v>
      </c>
      <c r="AE25" s="25">
        <v>25.11</v>
      </c>
      <c r="AF25" s="22">
        <f>72.82+20</f>
        <v>92.82</v>
      </c>
      <c r="AG25" s="25"/>
      <c r="AH25" s="22">
        <v>8.15</v>
      </c>
      <c r="AI25" s="25">
        <f>22.775+2.77</f>
        <v>25.544999999999998</v>
      </c>
      <c r="AJ25" s="22">
        <f>66.06+8.04</f>
        <v>74.099999999999994</v>
      </c>
      <c r="AK25" s="25"/>
      <c r="AL25" s="22">
        <v>5.0999999999999996</v>
      </c>
      <c r="AM25" s="25"/>
      <c r="AN25" s="22">
        <v>3.95</v>
      </c>
      <c r="AO25" s="25"/>
      <c r="AP25" s="22">
        <v>17.38</v>
      </c>
      <c r="AQ25" s="25">
        <v>44.375</v>
      </c>
      <c r="AR25" s="22">
        <f>128.72+20</f>
        <v>148.72</v>
      </c>
      <c r="AS25" s="25"/>
      <c r="AT25" s="22"/>
      <c r="AU25" s="25"/>
      <c r="AV25" s="22"/>
      <c r="AW25" s="25"/>
      <c r="AX25" s="22"/>
      <c r="AY25"/>
      <c r="AZ25" s="74">
        <f t="shared" si="0"/>
        <v>730.55</v>
      </c>
      <c r="BA25" s="22">
        <f t="shared" si="1"/>
        <v>692.46445497630327</v>
      </c>
    </row>
    <row r="26" spans="1:53" x14ac:dyDescent="0.25">
      <c r="A26" s="19" t="s">
        <v>43</v>
      </c>
      <c r="B26" s="20" t="s">
        <v>34</v>
      </c>
      <c r="C26" s="25"/>
      <c r="D26" s="22"/>
      <c r="E26" s="25"/>
      <c r="F26" s="22"/>
      <c r="G26" s="25">
        <v>7.7549999999999999</v>
      </c>
      <c r="H26" s="22">
        <v>22.48</v>
      </c>
      <c r="I26" s="25"/>
      <c r="J26" s="22">
        <v>2.82</v>
      </c>
      <c r="K26" s="85">
        <f>4.455+1.76</f>
        <v>6.2149999999999999</v>
      </c>
      <c r="L26" s="73">
        <f>12.93+5.1</f>
        <v>18.03</v>
      </c>
      <c r="M26" s="25"/>
      <c r="N26" s="22"/>
      <c r="O26" s="25"/>
      <c r="P26" s="22"/>
      <c r="Q26" s="25"/>
      <c r="R26" s="22"/>
      <c r="S26" s="25"/>
      <c r="T26" s="22"/>
      <c r="U26" s="73"/>
      <c r="V26" s="73"/>
      <c r="W26" s="25"/>
      <c r="X26" s="22"/>
      <c r="Y26" s="25"/>
      <c r="Z26" s="22"/>
      <c r="AA26" s="25"/>
      <c r="AB26" s="22">
        <v>10.83</v>
      </c>
      <c r="AC26" s="25"/>
      <c r="AD26" s="22"/>
      <c r="AE26" s="25">
        <v>7.3650000000000002</v>
      </c>
      <c r="AF26" s="22">
        <f>21.37+20</f>
        <v>41.370000000000005</v>
      </c>
      <c r="AG26" s="25"/>
      <c r="AH26" s="22">
        <v>35.97</v>
      </c>
      <c r="AI26" s="25">
        <f>16.545+1.325</f>
        <v>17.87</v>
      </c>
      <c r="AJ26" s="22">
        <f>48+3.85</f>
        <v>51.85</v>
      </c>
      <c r="AK26" s="25"/>
      <c r="AL26" s="22">
        <v>8.2899999999999991</v>
      </c>
      <c r="AM26" s="25"/>
      <c r="AN26" s="22">
        <v>1.54</v>
      </c>
      <c r="AO26" s="25"/>
      <c r="AP26" s="22">
        <v>13.07</v>
      </c>
      <c r="AQ26" s="25">
        <v>7.99</v>
      </c>
      <c r="AR26" s="22">
        <f>23.16+23</f>
        <v>46.16</v>
      </c>
      <c r="AS26" s="25"/>
      <c r="AT26" s="22"/>
      <c r="AU26" s="25"/>
      <c r="AV26" s="22"/>
      <c r="AW26" s="25"/>
      <c r="AX26" s="22"/>
      <c r="AY26"/>
      <c r="AZ26" s="74">
        <f t="shared" si="0"/>
        <v>252.41</v>
      </c>
      <c r="BA26" s="22">
        <f t="shared" si="1"/>
        <v>239.25118483412322</v>
      </c>
    </row>
    <row r="27" spans="1:53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73"/>
      <c r="V27" s="73"/>
      <c r="W27" s="25"/>
      <c r="X27" s="22"/>
      <c r="Y27" s="25"/>
      <c r="Z27" s="22"/>
      <c r="AA27" s="25"/>
      <c r="AB27" s="22">
        <v>1.58</v>
      </c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 s="25"/>
      <c r="AX27" s="22"/>
      <c r="AY27"/>
      <c r="AZ27" s="74">
        <f t="shared" si="0"/>
        <v>1.58</v>
      </c>
      <c r="BA27" s="22">
        <f t="shared" si="1"/>
        <v>1.4976303317535546</v>
      </c>
    </row>
    <row r="28" spans="1:53" x14ac:dyDescent="0.25">
      <c r="A28" s="19" t="s">
        <v>179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73"/>
      <c r="V28" s="73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>
        <v>10.67</v>
      </c>
      <c r="AI28" s="25"/>
      <c r="AJ28" s="22"/>
      <c r="AK28" s="25"/>
      <c r="AL28" s="22"/>
      <c r="AM28" s="25"/>
      <c r="AN28" s="22"/>
      <c r="AO28" s="25"/>
      <c r="AP28" s="22">
        <v>1</v>
      </c>
      <c r="AQ28" s="25"/>
      <c r="AR28" s="22"/>
      <c r="AS28" s="25"/>
      <c r="AT28" s="22"/>
      <c r="AU28" s="25"/>
      <c r="AV28" s="22"/>
      <c r="AW28" s="25"/>
      <c r="AX28" s="22"/>
      <c r="AY28"/>
      <c r="AZ28" s="74">
        <f t="shared" si="0"/>
        <v>11.67</v>
      </c>
      <c r="BA28" s="22">
        <f t="shared" si="1"/>
        <v>11.061611374407583</v>
      </c>
    </row>
    <row r="29" spans="1:53" x14ac:dyDescent="0.25">
      <c r="A29" s="19" t="s">
        <v>180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73"/>
      <c r="V29" s="73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>
        <v>2.74</v>
      </c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 s="25"/>
      <c r="AX29" s="22"/>
      <c r="AY29"/>
      <c r="AZ29" s="74">
        <f t="shared" si="0"/>
        <v>2.74</v>
      </c>
      <c r="BA29" s="22">
        <f t="shared" si="1"/>
        <v>2.5971563981042656</v>
      </c>
    </row>
    <row r="30" spans="1:53" x14ac:dyDescent="0.25">
      <c r="A30" s="19" t="s">
        <v>132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85"/>
      <c r="L30" s="73"/>
      <c r="M30" s="25"/>
      <c r="N30" s="22"/>
      <c r="O30" s="25"/>
      <c r="P30" s="22"/>
      <c r="Q30" s="25"/>
      <c r="R30" s="22"/>
      <c r="S30" s="25"/>
      <c r="T30" s="22"/>
      <c r="U30" s="73"/>
      <c r="V30" s="73"/>
      <c r="W30" s="25"/>
      <c r="X30" s="22"/>
      <c r="Y30" s="25">
        <v>7.2949999999999999</v>
      </c>
      <c r="Z30" s="22">
        <v>12.7</v>
      </c>
      <c r="AA30" s="25"/>
      <c r="AB30" s="22">
        <v>25</v>
      </c>
      <c r="AC30" s="25"/>
      <c r="AD30" s="22"/>
      <c r="AE30" s="25"/>
      <c r="AF30" s="22"/>
      <c r="AG30" s="25"/>
      <c r="AH30" s="22"/>
      <c r="AI30" s="25">
        <v>2.74</v>
      </c>
      <c r="AJ30" s="22">
        <v>9.24</v>
      </c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 s="25"/>
      <c r="AX30" s="22"/>
      <c r="AY30"/>
      <c r="AZ30" s="74">
        <f t="shared" si="0"/>
        <v>46.94</v>
      </c>
      <c r="BA30" s="22">
        <f t="shared" si="1"/>
        <v>44.492890995260666</v>
      </c>
    </row>
    <row r="31" spans="1:53" s="18" customFormat="1" x14ac:dyDescent="0.25">
      <c r="A31" s="12" t="s">
        <v>46</v>
      </c>
      <c r="B31" s="13"/>
      <c r="C31" s="14"/>
      <c r="D31" s="15">
        <f>SUM(D32:D47)</f>
        <v>0</v>
      </c>
      <c r="E31" s="14"/>
      <c r="F31" s="15">
        <f>SUM(F32:F47)</f>
        <v>72.03</v>
      </c>
      <c r="G31" s="14"/>
      <c r="H31" s="15">
        <f>SUM(H32:H47)</f>
        <v>0</v>
      </c>
      <c r="I31" s="14"/>
      <c r="J31" s="15">
        <f>SUM(J32:J47)</f>
        <v>102.18</v>
      </c>
      <c r="K31" s="70"/>
      <c r="L31" s="70">
        <f>SUM(L32:L47)</f>
        <v>0</v>
      </c>
      <c r="M31" s="14"/>
      <c r="N31" s="15">
        <f>SUM(N32:N47)</f>
        <v>108.02</v>
      </c>
      <c r="O31" s="14"/>
      <c r="P31" s="15">
        <f>SUM(P32:P47)</f>
        <v>0</v>
      </c>
      <c r="Q31" s="14"/>
      <c r="R31" s="15">
        <f>SUM(R32:R47)</f>
        <v>0</v>
      </c>
      <c r="S31" s="14"/>
      <c r="T31" s="15">
        <f>SUM(T32:T47)</f>
        <v>0</v>
      </c>
      <c r="U31" s="70"/>
      <c r="V31" s="70">
        <f>SUM(V32:V47)</f>
        <v>0</v>
      </c>
      <c r="W31" s="14"/>
      <c r="X31" s="15">
        <f>SUM(X32:X47)</f>
        <v>66.94</v>
      </c>
      <c r="Y31" s="14"/>
      <c r="Z31" s="15">
        <f>SUM(Z32:Z47)</f>
        <v>0</v>
      </c>
      <c r="AA31" s="14"/>
      <c r="AB31" s="15">
        <f>SUM(AB32:AB47)</f>
        <v>157.12</v>
      </c>
      <c r="AC31" s="14"/>
      <c r="AD31" s="15">
        <f>SUM(AD32:AD47)</f>
        <v>0</v>
      </c>
      <c r="AE31" s="14"/>
      <c r="AF31" s="15">
        <f>SUM(AF32:AF47)</f>
        <v>0</v>
      </c>
      <c r="AG31" s="14"/>
      <c r="AH31" s="15">
        <f>SUM(AH32:AH47)</f>
        <v>87.72</v>
      </c>
      <c r="AI31" s="14"/>
      <c r="AJ31" s="15">
        <f>SUM(AJ32:AJ47)</f>
        <v>0</v>
      </c>
      <c r="AK31" s="14"/>
      <c r="AL31" s="15">
        <f>SUM(AL32:AL47)</f>
        <v>62.25</v>
      </c>
      <c r="AM31" s="14"/>
      <c r="AN31" s="15">
        <f>SUM(AN32:AN47)</f>
        <v>0</v>
      </c>
      <c r="AO31" s="14"/>
      <c r="AP31" s="15">
        <f>SUM(AP32:AP47)</f>
        <v>44.09</v>
      </c>
      <c r="AQ31" s="14"/>
      <c r="AR31" s="15">
        <f>SUM(AR32:AR47)</f>
        <v>0</v>
      </c>
      <c r="AS31" s="14"/>
      <c r="AT31" s="15">
        <f>SUM(AT32:AT47)</f>
        <v>0</v>
      </c>
      <c r="AU31" s="14"/>
      <c r="AV31" s="15">
        <f>SUM(AV32:AV47)</f>
        <v>0</v>
      </c>
      <c r="AW31" s="14"/>
      <c r="AX31" s="15">
        <f>SUM(AX32:AX47)</f>
        <v>0</v>
      </c>
      <c r="AZ31" s="71">
        <f t="shared" si="0"/>
        <v>700.34999999999991</v>
      </c>
      <c r="BA31" s="15">
        <f t="shared" si="1"/>
        <v>663.83886255924165</v>
      </c>
    </row>
    <row r="32" spans="1:53" x14ac:dyDescent="0.25">
      <c r="A32" s="19" t="s">
        <v>47</v>
      </c>
      <c r="B32" s="20" t="s">
        <v>34</v>
      </c>
      <c r="C32" s="25"/>
      <c r="D32" s="22"/>
      <c r="E32" s="25"/>
      <c r="F32" s="22">
        <v>7.05</v>
      </c>
      <c r="G32" s="25"/>
      <c r="H32" s="22"/>
      <c r="I32" s="25"/>
      <c r="J32" s="22">
        <v>11.52</v>
      </c>
      <c r="K32" s="25"/>
      <c r="L32" s="73"/>
      <c r="M32" s="25"/>
      <c r="N32" s="22">
        <v>7.55</v>
      </c>
      <c r="O32" s="25"/>
      <c r="P32" s="22"/>
      <c r="Q32" s="25"/>
      <c r="R32" s="22"/>
      <c r="S32" s="21"/>
      <c r="T32" s="22"/>
      <c r="U32" s="73"/>
      <c r="V32" s="73"/>
      <c r="W32" s="25"/>
      <c r="X32" s="22">
        <v>4.75</v>
      </c>
      <c r="Y32" s="25"/>
      <c r="Z32" s="22"/>
      <c r="AA32" s="25"/>
      <c r="AB32" s="22">
        <v>14.33</v>
      </c>
      <c r="AC32" s="21"/>
      <c r="AD32" s="22"/>
      <c r="AE32" s="25"/>
      <c r="AF32" s="22"/>
      <c r="AG32" s="25"/>
      <c r="AH32" s="22">
        <v>15.34</v>
      </c>
      <c r="AI32" s="25"/>
      <c r="AJ32" s="22"/>
      <c r="AK32" s="25"/>
      <c r="AL32" s="22">
        <v>2.58</v>
      </c>
      <c r="AM32" s="25"/>
      <c r="AN32" s="22"/>
      <c r="AO32" s="25"/>
      <c r="AP32" s="22">
        <v>6.77</v>
      </c>
      <c r="AQ32" s="25"/>
      <c r="AR32" s="22"/>
      <c r="AS32" s="25"/>
      <c r="AT32" s="22"/>
      <c r="AU32" s="25"/>
      <c r="AV32" s="22"/>
      <c r="AW32" s="25"/>
      <c r="AX32" s="22"/>
      <c r="AY32"/>
      <c r="AZ32" s="74">
        <f t="shared" si="0"/>
        <v>69.889999999999986</v>
      </c>
      <c r="BA32" s="22">
        <f t="shared" si="1"/>
        <v>66.246445497630319</v>
      </c>
    </row>
    <row r="33" spans="1:53" x14ac:dyDescent="0.25">
      <c r="A33" s="19" t="s">
        <v>48</v>
      </c>
      <c r="B33" s="20" t="s">
        <v>34</v>
      </c>
      <c r="C33" s="25"/>
      <c r="D33" s="22"/>
      <c r="E33" s="25"/>
      <c r="F33" s="22">
        <v>7.13</v>
      </c>
      <c r="G33" s="25"/>
      <c r="H33" s="22"/>
      <c r="I33" s="25"/>
      <c r="J33" s="22">
        <f>18.89+10</f>
        <v>28.89</v>
      </c>
      <c r="K33" s="25"/>
      <c r="L33" s="73"/>
      <c r="M33" s="25"/>
      <c r="N33" s="22">
        <v>8.2899999999999991</v>
      </c>
      <c r="O33" s="25"/>
      <c r="P33" s="22"/>
      <c r="Q33" s="25"/>
      <c r="R33" s="22"/>
      <c r="S33" s="21"/>
      <c r="T33" s="22"/>
      <c r="U33" s="73"/>
      <c r="V33" s="73"/>
      <c r="W33" s="25"/>
      <c r="X33" s="22">
        <v>10.61</v>
      </c>
      <c r="Y33" s="25"/>
      <c r="Z33" s="22"/>
      <c r="AA33" s="25"/>
      <c r="AB33" s="22">
        <v>6.55</v>
      </c>
      <c r="AC33" s="21"/>
      <c r="AD33" s="22"/>
      <c r="AE33" s="25"/>
      <c r="AF33" s="22"/>
      <c r="AG33" s="25"/>
      <c r="AH33" s="22">
        <v>18.760000000000002</v>
      </c>
      <c r="AI33" s="25"/>
      <c r="AJ33" s="22"/>
      <c r="AK33" s="25"/>
      <c r="AL33" s="22"/>
      <c r="AM33" s="25"/>
      <c r="AN33" s="22"/>
      <c r="AO33" s="25"/>
      <c r="AP33" s="22">
        <v>8.3000000000000007</v>
      </c>
      <c r="AQ33" s="25"/>
      <c r="AR33" s="22"/>
      <c r="AS33" s="25"/>
      <c r="AT33" s="22"/>
      <c r="AU33" s="25"/>
      <c r="AV33" s="22"/>
      <c r="AW33" s="25"/>
      <c r="AX33" s="22"/>
      <c r="AY33"/>
      <c r="AZ33" s="74">
        <f t="shared" si="0"/>
        <v>88.53</v>
      </c>
      <c r="BA33" s="22">
        <f t="shared" si="1"/>
        <v>83.914691943127963</v>
      </c>
    </row>
    <row r="34" spans="1:53" x14ac:dyDescent="0.25">
      <c r="A34" s="19" t="s">
        <v>49</v>
      </c>
      <c r="B34" s="20" t="s">
        <v>34</v>
      </c>
      <c r="C34" s="25"/>
      <c r="D34" s="22"/>
      <c r="E34" s="25"/>
      <c r="F34" s="22"/>
      <c r="G34" s="25"/>
      <c r="H34" s="22"/>
      <c r="I34" s="25"/>
      <c r="J34" s="22"/>
      <c r="K34" s="25"/>
      <c r="L34" s="73"/>
      <c r="M34" s="25"/>
      <c r="N34" s="22">
        <v>3.18</v>
      </c>
      <c r="O34" s="25"/>
      <c r="P34" s="22"/>
      <c r="Q34" s="25"/>
      <c r="R34" s="22"/>
      <c r="S34" s="21"/>
      <c r="T34" s="22"/>
      <c r="U34" s="73"/>
      <c r="V34" s="73"/>
      <c r="W34" s="25"/>
      <c r="X34" s="22">
        <v>2.39</v>
      </c>
      <c r="Y34" s="25"/>
      <c r="Z34" s="22"/>
      <c r="AA34" s="25"/>
      <c r="AB34" s="22">
        <v>20.18</v>
      </c>
      <c r="AC34" s="21"/>
      <c r="AD34" s="22"/>
      <c r="AE34" s="25"/>
      <c r="AF34" s="22"/>
      <c r="AG34" s="25"/>
      <c r="AH34" s="22">
        <v>13.08</v>
      </c>
      <c r="AI34" s="25"/>
      <c r="AJ34" s="22"/>
      <c r="AK34" s="25"/>
      <c r="AL34" s="22">
        <v>9.67</v>
      </c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 s="25"/>
      <c r="AX34" s="22"/>
      <c r="AY34"/>
      <c r="AZ34" s="74">
        <f t="shared" si="0"/>
        <v>48.5</v>
      </c>
      <c r="BA34" s="22">
        <f t="shared" si="1"/>
        <v>45.971563981042657</v>
      </c>
    </row>
    <row r="35" spans="1:53" x14ac:dyDescent="0.25">
      <c r="A35" s="19" t="s">
        <v>50</v>
      </c>
      <c r="B35" s="20" t="s">
        <v>34</v>
      </c>
      <c r="C35" s="25"/>
      <c r="D35" s="22"/>
      <c r="E35" s="25"/>
      <c r="F35" s="22">
        <v>57.85</v>
      </c>
      <c r="G35" s="25"/>
      <c r="H35" s="22"/>
      <c r="I35" s="25"/>
      <c r="J35" s="22">
        <f>61.77</f>
        <v>61.77</v>
      </c>
      <c r="K35" s="25"/>
      <c r="L35" s="73"/>
      <c r="M35" s="25"/>
      <c r="N35" s="22">
        <v>89</v>
      </c>
      <c r="O35" s="25"/>
      <c r="P35" s="22"/>
      <c r="Q35" s="25"/>
      <c r="R35" s="22"/>
      <c r="S35" s="21"/>
      <c r="T35" s="22"/>
      <c r="U35" s="73"/>
      <c r="V35" s="73"/>
      <c r="W35" s="25"/>
      <c r="X35" s="22">
        <f>33.75+14</f>
        <v>47.75</v>
      </c>
      <c r="Y35" s="25"/>
      <c r="Z35" s="22"/>
      <c r="AA35" s="25"/>
      <c r="AB35" s="22">
        <v>85</v>
      </c>
      <c r="AC35" s="21"/>
      <c r="AD35" s="22"/>
      <c r="AE35" s="25"/>
      <c r="AF35" s="22"/>
      <c r="AG35" s="25"/>
      <c r="AH35" s="22">
        <v>38.85</v>
      </c>
      <c r="AI35" s="25"/>
      <c r="AJ35" s="22"/>
      <c r="AK35" s="25"/>
      <c r="AL35" s="22">
        <v>50</v>
      </c>
      <c r="AM35" s="25"/>
      <c r="AN35" s="22"/>
      <c r="AO35" s="25"/>
      <c r="AP35" s="22">
        <f>24.27+1</f>
        <v>25.27</v>
      </c>
      <c r="AQ35" s="25"/>
      <c r="AR35" s="22"/>
      <c r="AS35" s="25"/>
      <c r="AT35" s="22"/>
      <c r="AU35" s="25"/>
      <c r="AV35" s="22"/>
      <c r="AW35" s="25"/>
      <c r="AX35" s="22"/>
      <c r="AY35"/>
      <c r="AZ35" s="74">
        <f t="shared" ref="AZ35:AZ62" si="2">SUM(AX35,AV35,AT35,AR35,AP35,AN35,AL35,AJ35,AH35,AF35,AD35,AB35,Z35,X35,T35,R35,P35,N35,L35,J35,H35,F35,D35)</f>
        <v>455.49</v>
      </c>
      <c r="BA35" s="22">
        <f t="shared" ref="BA35:BA62" si="3">AZ35/1.055</f>
        <v>431.74407582938392</v>
      </c>
    </row>
    <row r="36" spans="1:53" x14ac:dyDescent="0.25">
      <c r="A36" s="19" t="s">
        <v>51</v>
      </c>
      <c r="B36" s="20" t="s">
        <v>34</v>
      </c>
      <c r="C36" s="25"/>
      <c r="D36" s="22"/>
      <c r="E36" s="25"/>
      <c r="F36" s="22"/>
      <c r="G36" s="25"/>
      <c r="H36" s="22"/>
      <c r="I36" s="25"/>
      <c r="J36" s="22"/>
      <c r="K36" s="25"/>
      <c r="L36" s="73"/>
      <c r="M36" s="25"/>
      <c r="N36" s="22"/>
      <c r="O36" s="25"/>
      <c r="P36" s="22"/>
      <c r="Q36" s="25"/>
      <c r="R36" s="22"/>
      <c r="S36" s="21"/>
      <c r="T36" s="22"/>
      <c r="U36" s="73"/>
      <c r="V36" s="73"/>
      <c r="W36" s="25"/>
      <c r="X36" s="22"/>
      <c r="Y36" s="25"/>
      <c r="Z36" s="22"/>
      <c r="AA36" s="25"/>
      <c r="AB36" s="22"/>
      <c r="AC36" s="21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 s="25"/>
      <c r="AX36" s="22"/>
      <c r="AY36"/>
      <c r="AZ36" s="74">
        <f t="shared" si="2"/>
        <v>0</v>
      </c>
      <c r="BA36" s="22">
        <f t="shared" si="3"/>
        <v>0</v>
      </c>
    </row>
    <row r="37" spans="1:53" x14ac:dyDescent="0.25">
      <c r="A37" s="19" t="s">
        <v>133</v>
      </c>
      <c r="B37" s="20" t="s">
        <v>53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73"/>
      <c r="V37" s="73"/>
      <c r="W37" s="25"/>
      <c r="X37" s="22"/>
      <c r="Y37" s="25"/>
      <c r="Z37" s="22"/>
      <c r="AA37" s="25"/>
      <c r="AB37" s="22"/>
      <c r="AC37" s="21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 s="25"/>
      <c r="AX37" s="22"/>
      <c r="AY37"/>
      <c r="AZ37" s="74">
        <f t="shared" si="2"/>
        <v>0</v>
      </c>
      <c r="BA37" s="22">
        <f t="shared" si="3"/>
        <v>0</v>
      </c>
    </row>
    <row r="38" spans="1:53" x14ac:dyDescent="0.25">
      <c r="A38" s="19" t="s">
        <v>54</v>
      </c>
      <c r="B38" s="20" t="s">
        <v>55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73"/>
      <c r="V38" s="73"/>
      <c r="W38" s="25"/>
      <c r="X38" s="22"/>
      <c r="Y38" s="25"/>
      <c r="Z38" s="22"/>
      <c r="AA38" s="25"/>
      <c r="AB38" s="22"/>
      <c r="AC38" s="21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 s="25"/>
      <c r="AX38" s="22"/>
      <c r="AY38"/>
      <c r="AZ38" s="74">
        <f t="shared" si="2"/>
        <v>0</v>
      </c>
      <c r="BA38" s="22">
        <f t="shared" si="3"/>
        <v>0</v>
      </c>
    </row>
    <row r="39" spans="1:53" x14ac:dyDescent="0.25">
      <c r="A39" s="19" t="s">
        <v>56</v>
      </c>
      <c r="B39" s="20" t="s">
        <v>34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73"/>
      <c r="V39" s="73"/>
      <c r="W39" s="25"/>
      <c r="X39" s="22"/>
      <c r="Y39" s="25"/>
      <c r="Z39" s="22"/>
      <c r="AA39" s="25"/>
      <c r="AB39" s="22"/>
      <c r="AC39" s="21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 s="25"/>
      <c r="AX39" s="22"/>
      <c r="AY39"/>
      <c r="AZ39" s="74">
        <f t="shared" si="2"/>
        <v>0</v>
      </c>
      <c r="BA39" s="22">
        <f t="shared" si="3"/>
        <v>0</v>
      </c>
    </row>
    <row r="40" spans="1:53" x14ac:dyDescent="0.25">
      <c r="A40" s="19" t="s">
        <v>57</v>
      </c>
      <c r="B40" s="20" t="s">
        <v>53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73"/>
      <c r="V40" s="73"/>
      <c r="W40" s="25"/>
      <c r="X40" s="22"/>
      <c r="Y40" s="25"/>
      <c r="Z40" s="22"/>
      <c r="AA40" s="25"/>
      <c r="AB40" s="22"/>
      <c r="AC40" s="21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 s="25"/>
      <c r="AX40" s="22"/>
      <c r="AY40"/>
      <c r="AZ40" s="74">
        <f t="shared" si="2"/>
        <v>0</v>
      </c>
      <c r="BA40" s="22">
        <f t="shared" si="3"/>
        <v>0</v>
      </c>
    </row>
    <row r="41" spans="1:53" x14ac:dyDescent="0.25">
      <c r="A41" s="19" t="s">
        <v>58</v>
      </c>
      <c r="B41" s="20" t="s">
        <v>34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73"/>
      <c r="V41" s="73"/>
      <c r="W41" s="25"/>
      <c r="X41" s="22">
        <v>1.44</v>
      </c>
      <c r="Y41" s="25"/>
      <c r="Z41" s="22"/>
      <c r="AA41" s="25"/>
      <c r="AB41" s="22">
        <v>6.06</v>
      </c>
      <c r="AC41" s="21"/>
      <c r="AD41" s="22"/>
      <c r="AE41" s="25"/>
      <c r="AF41" s="22"/>
      <c r="AG41" s="25"/>
      <c r="AH41" s="22">
        <v>1.69</v>
      </c>
      <c r="AI41" s="25"/>
      <c r="AJ41" s="22"/>
      <c r="AK41" s="25"/>
      <c r="AL41" s="22"/>
      <c r="AM41" s="25"/>
      <c r="AN41" s="22"/>
      <c r="AO41" s="25"/>
      <c r="AP41" s="22">
        <v>3.75</v>
      </c>
      <c r="AQ41" s="25"/>
      <c r="AR41" s="22"/>
      <c r="AS41" s="25"/>
      <c r="AT41" s="22"/>
      <c r="AU41" s="25"/>
      <c r="AV41" s="22"/>
      <c r="AW41" s="25"/>
      <c r="AX41" s="22"/>
      <c r="AY41"/>
      <c r="AZ41" s="74">
        <f t="shared" si="2"/>
        <v>12.94</v>
      </c>
      <c r="BA41" s="22">
        <f t="shared" si="3"/>
        <v>12.265402843601896</v>
      </c>
    </row>
    <row r="42" spans="1:53" x14ac:dyDescent="0.25">
      <c r="A42" s="19" t="s">
        <v>110</v>
      </c>
      <c r="B42" s="20" t="s">
        <v>34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73"/>
      <c r="V42" s="73"/>
      <c r="W42" s="25"/>
      <c r="X42" s="22"/>
      <c r="Y42" s="25"/>
      <c r="Z42" s="22"/>
      <c r="AA42" s="25"/>
      <c r="AB42" s="22"/>
      <c r="AC42" s="21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 s="25"/>
      <c r="AX42" s="22"/>
      <c r="AY42"/>
      <c r="AZ42" s="74">
        <f t="shared" si="2"/>
        <v>0</v>
      </c>
      <c r="BA42" s="22">
        <f t="shared" si="3"/>
        <v>0</v>
      </c>
    </row>
    <row r="43" spans="1:53" x14ac:dyDescent="0.25">
      <c r="A43" s="19" t="s">
        <v>111</v>
      </c>
      <c r="B43" s="20" t="s">
        <v>34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73"/>
      <c r="V43" s="73"/>
      <c r="W43" s="25"/>
      <c r="X43" s="22"/>
      <c r="Y43" s="25"/>
      <c r="Z43" s="22"/>
      <c r="AA43" s="25"/>
      <c r="AB43" s="22"/>
      <c r="AC43" s="21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 s="25"/>
      <c r="AX43" s="22"/>
      <c r="AY43"/>
      <c r="AZ43" s="74">
        <f t="shared" si="2"/>
        <v>0</v>
      </c>
      <c r="BA43" s="22">
        <f t="shared" si="3"/>
        <v>0</v>
      </c>
    </row>
    <row r="44" spans="1:53" x14ac:dyDescent="0.25">
      <c r="A44" s="19" t="s">
        <v>112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73"/>
      <c r="V44" s="73"/>
      <c r="W44" s="25"/>
      <c r="X44" s="22"/>
      <c r="Y44" s="25"/>
      <c r="Z44" s="22"/>
      <c r="AA44" s="25"/>
      <c r="AB44" s="22"/>
      <c r="AC44" s="21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 s="25"/>
      <c r="AX44" s="22"/>
      <c r="AY44"/>
      <c r="AZ44" s="74">
        <f t="shared" si="2"/>
        <v>0</v>
      </c>
      <c r="BA44" s="22">
        <f t="shared" si="3"/>
        <v>0</v>
      </c>
    </row>
    <row r="45" spans="1:53" x14ac:dyDescent="0.25">
      <c r="A45" s="19" t="s">
        <v>113</v>
      </c>
      <c r="B45" s="20" t="s">
        <v>34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73"/>
      <c r="V45" s="73"/>
      <c r="W45" s="25"/>
      <c r="X45" s="22"/>
      <c r="Y45" s="25"/>
      <c r="Z45" s="22"/>
      <c r="AA45" s="25"/>
      <c r="AB45" s="22"/>
      <c r="AC45" s="21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 s="25"/>
      <c r="AX45" s="22"/>
      <c r="AY45"/>
      <c r="AZ45" s="74">
        <f t="shared" si="2"/>
        <v>0</v>
      </c>
      <c r="BA45" s="22">
        <f t="shared" si="3"/>
        <v>0</v>
      </c>
    </row>
    <row r="46" spans="1:53" x14ac:dyDescent="0.25">
      <c r="A46" s="19" t="s">
        <v>134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73"/>
      <c r="V46" s="73"/>
      <c r="W46" s="25"/>
      <c r="X46" s="22"/>
      <c r="Y46" s="25"/>
      <c r="Z46" s="22"/>
      <c r="AA46" s="25"/>
      <c r="AB46" s="22"/>
      <c r="AC46" s="21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 s="25"/>
      <c r="AX46" s="22"/>
      <c r="AY46"/>
      <c r="AZ46" s="74">
        <f t="shared" si="2"/>
        <v>0</v>
      </c>
      <c r="BA46" s="22">
        <f t="shared" si="3"/>
        <v>0</v>
      </c>
    </row>
    <row r="47" spans="1:53" x14ac:dyDescent="0.25">
      <c r="A47" s="19" t="s">
        <v>59</v>
      </c>
      <c r="B47" s="20"/>
      <c r="C47" s="25"/>
      <c r="D47" s="22"/>
      <c r="E47" s="25"/>
      <c r="F47" s="22"/>
      <c r="G47" s="25"/>
      <c r="H47" s="22"/>
      <c r="I47" s="25"/>
      <c r="J47" s="22"/>
      <c r="K47" s="25"/>
      <c r="L47" s="73"/>
      <c r="M47" s="25"/>
      <c r="N47" s="22"/>
      <c r="O47" s="25"/>
      <c r="P47" s="22"/>
      <c r="Q47" s="25"/>
      <c r="R47" s="22"/>
      <c r="S47" s="21"/>
      <c r="T47" s="22"/>
      <c r="U47" s="73"/>
      <c r="V47" s="73"/>
      <c r="W47" s="25"/>
      <c r="X47" s="22"/>
      <c r="Y47" s="25"/>
      <c r="Z47" s="22"/>
      <c r="AA47" s="25"/>
      <c r="AB47" s="22">
        <v>25</v>
      </c>
      <c r="AC47" s="21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 s="25"/>
      <c r="AX47" s="22"/>
      <c r="AY47"/>
      <c r="AZ47" s="74">
        <f t="shared" si="2"/>
        <v>25</v>
      </c>
      <c r="BA47" s="22">
        <f t="shared" si="3"/>
        <v>23.696682464454977</v>
      </c>
    </row>
    <row r="48" spans="1:53" s="18" customFormat="1" x14ac:dyDescent="0.25">
      <c r="A48" s="12" t="s">
        <v>60</v>
      </c>
      <c r="B48" s="13"/>
      <c r="C48" s="14"/>
      <c r="D48" s="15">
        <f>SUM(D49:D56)</f>
        <v>113.16</v>
      </c>
      <c r="E48" s="14"/>
      <c r="F48" s="15">
        <f>SUM(F49:F56)</f>
        <v>30.130000000000003</v>
      </c>
      <c r="G48" s="14"/>
      <c r="H48" s="15">
        <f>SUM(H49:H56)</f>
        <v>26.57</v>
      </c>
      <c r="I48" s="14"/>
      <c r="J48" s="15">
        <f>SUM(J49:J56)</f>
        <v>17.649999999999999</v>
      </c>
      <c r="K48" s="70"/>
      <c r="L48" s="70">
        <f>SUM(L49:L56)</f>
        <v>84.25</v>
      </c>
      <c r="M48" s="14"/>
      <c r="N48" s="15">
        <f>SUM(N49:N56)</f>
        <v>14.61</v>
      </c>
      <c r="O48" s="14"/>
      <c r="P48" s="15">
        <f>SUM(P49:P56)</f>
        <v>31.67</v>
      </c>
      <c r="Q48" s="14"/>
      <c r="R48" s="15">
        <f>SUM(R49:R56)</f>
        <v>9.6999999999999993</v>
      </c>
      <c r="S48" s="14"/>
      <c r="T48" s="15">
        <f>SUM(T49:T56)</f>
        <v>6.25</v>
      </c>
      <c r="U48" s="70"/>
      <c r="V48" s="70">
        <f>SUM(V49:V56)</f>
        <v>0</v>
      </c>
      <c r="W48" s="14"/>
      <c r="X48" s="15">
        <f>SUM(X49:X56)</f>
        <v>11.6</v>
      </c>
      <c r="Y48" s="14"/>
      <c r="Z48" s="15">
        <f>SUM(Z49:Z56)</f>
        <v>90.6</v>
      </c>
      <c r="AA48" s="14"/>
      <c r="AB48" s="15">
        <f>SUM(AB49:AB56)</f>
        <v>47.05</v>
      </c>
      <c r="AC48" s="14"/>
      <c r="AD48" s="15">
        <f>SUM(AD49:AD56)</f>
        <v>8.5</v>
      </c>
      <c r="AE48" s="14"/>
      <c r="AF48" s="15">
        <f>SUM(AF49:AF56)</f>
        <v>33.22</v>
      </c>
      <c r="AG48" s="14"/>
      <c r="AH48" s="15">
        <f>SUM(AH49:AH56)</f>
        <v>12.44</v>
      </c>
      <c r="AI48" s="14"/>
      <c r="AJ48" s="15">
        <f>SUM(AJ49:AJ56)</f>
        <v>65.459999999999994</v>
      </c>
      <c r="AK48" s="14"/>
      <c r="AL48" s="15">
        <f>SUM(AL49:AL56)</f>
        <v>7.8</v>
      </c>
      <c r="AM48" s="14"/>
      <c r="AN48" s="15">
        <f>SUM(AN49:AN56)</f>
        <v>0</v>
      </c>
      <c r="AO48" s="14"/>
      <c r="AP48" s="15">
        <f>SUM(AP49:AP56)</f>
        <v>18.38</v>
      </c>
      <c r="AQ48" s="14"/>
      <c r="AR48" s="15">
        <f>SUM(AR49:AR56)</f>
        <v>64.86</v>
      </c>
      <c r="AS48" s="14"/>
      <c r="AT48" s="15">
        <f>SUM(AT49:AT56)</f>
        <v>0</v>
      </c>
      <c r="AU48" s="14"/>
      <c r="AV48" s="15">
        <f>SUM(AV49:AV56)</f>
        <v>0</v>
      </c>
      <c r="AW48" s="14"/>
      <c r="AX48" s="15">
        <f>SUM(AX49:AX56)</f>
        <v>0</v>
      </c>
      <c r="AZ48" s="71">
        <f t="shared" si="2"/>
        <v>693.9</v>
      </c>
      <c r="BA48" s="15">
        <f t="shared" si="3"/>
        <v>657.7251184834123</v>
      </c>
    </row>
    <row r="49" spans="1:55" x14ac:dyDescent="0.25">
      <c r="A49" s="19" t="s">
        <v>61</v>
      </c>
      <c r="B49" s="20" t="s">
        <v>34</v>
      </c>
      <c r="C49" s="25">
        <v>0.25</v>
      </c>
      <c r="D49" s="22">
        <v>5.75</v>
      </c>
      <c r="E49" s="25"/>
      <c r="F49" s="22">
        <v>4.58</v>
      </c>
      <c r="G49" s="25">
        <v>0.21</v>
      </c>
      <c r="H49" s="22">
        <v>4.83</v>
      </c>
      <c r="I49" s="25"/>
      <c r="J49" s="22"/>
      <c r="K49" s="1">
        <v>0.98499999999999999</v>
      </c>
      <c r="L49" s="73">
        <v>22.66</v>
      </c>
      <c r="M49" s="25"/>
      <c r="N49" s="22">
        <v>2.0299999999999998</v>
      </c>
      <c r="O49" s="25"/>
      <c r="P49" s="22"/>
      <c r="Q49" s="25"/>
      <c r="R49" s="22">
        <v>3.9</v>
      </c>
      <c r="S49" s="25"/>
      <c r="T49" s="22">
        <v>2.4700000000000002</v>
      </c>
      <c r="U49" s="73"/>
      <c r="V49" s="73"/>
      <c r="W49" s="25"/>
      <c r="X49" s="22"/>
      <c r="Y49" s="25">
        <v>1.2649999999999999</v>
      </c>
      <c r="Z49" s="22">
        <v>29.11</v>
      </c>
      <c r="AA49" s="25"/>
      <c r="AB49" s="22"/>
      <c r="AC49" s="25"/>
      <c r="AD49" s="22">
        <v>3</v>
      </c>
      <c r="AE49" s="25"/>
      <c r="AF49" s="22"/>
      <c r="AG49" s="25"/>
      <c r="AH49" s="22"/>
      <c r="AI49" s="25">
        <v>0.25</v>
      </c>
      <c r="AJ49" s="22">
        <v>5.76</v>
      </c>
      <c r="AK49" s="25"/>
      <c r="AL49" s="22">
        <v>4</v>
      </c>
      <c r="AM49" s="25"/>
      <c r="AN49" s="22"/>
      <c r="AO49" s="25"/>
      <c r="AP49" s="22"/>
      <c r="AQ49" s="25">
        <v>0.83499999999999996</v>
      </c>
      <c r="AR49" s="22">
        <v>19.21</v>
      </c>
      <c r="AS49" s="25"/>
      <c r="AT49" s="22"/>
      <c r="AU49" s="25"/>
      <c r="AV49" s="22"/>
      <c r="AW49" s="25"/>
      <c r="AX49" s="22"/>
      <c r="AY49"/>
      <c r="AZ49" s="74">
        <f t="shared" si="2"/>
        <v>107.3</v>
      </c>
      <c r="BA49" s="22">
        <f t="shared" si="3"/>
        <v>101.70616113744076</v>
      </c>
    </row>
    <row r="50" spans="1:55" x14ac:dyDescent="0.25">
      <c r="A50" s="19" t="s">
        <v>62</v>
      </c>
      <c r="B50" s="20" t="s">
        <v>34</v>
      </c>
      <c r="C50" s="1">
        <v>0.16</v>
      </c>
      <c r="D50" s="22">
        <v>3.68</v>
      </c>
      <c r="E50"/>
      <c r="F50" s="22"/>
      <c r="G50"/>
      <c r="H50" s="22"/>
      <c r="I50"/>
      <c r="J50" s="22"/>
      <c r="K50" s="1">
        <v>0.1</v>
      </c>
      <c r="L50" s="22">
        <v>2.2999999999999998</v>
      </c>
      <c r="M50"/>
      <c r="N50" s="22">
        <v>0.86</v>
      </c>
      <c r="O50"/>
      <c r="P50" s="22"/>
      <c r="Q50"/>
      <c r="R50" s="22">
        <v>5.8</v>
      </c>
      <c r="S50"/>
      <c r="T50" s="22"/>
      <c r="U50" s="73"/>
      <c r="V50" s="22"/>
      <c r="W50"/>
      <c r="X50" s="22"/>
      <c r="Y50"/>
      <c r="Z50" s="22"/>
      <c r="AA50"/>
      <c r="AB50" s="22">
        <v>1.5</v>
      </c>
      <c r="AC50"/>
      <c r="AD50" s="22"/>
      <c r="AE50"/>
      <c r="AF50" s="22"/>
      <c r="AG50"/>
      <c r="AH50" s="22"/>
      <c r="AI50"/>
      <c r="AJ50" s="22"/>
      <c r="AK50"/>
      <c r="AL50" s="22"/>
      <c r="AM50"/>
      <c r="AN50" s="22"/>
      <c r="AO50"/>
      <c r="AP50" s="22">
        <v>1.5</v>
      </c>
      <c r="AQ50"/>
      <c r="AR50" s="22"/>
      <c r="AS50"/>
      <c r="AT50" s="22"/>
      <c r="AU50"/>
      <c r="AV50" s="22"/>
      <c r="AW50"/>
      <c r="AX50" s="22"/>
      <c r="AY50"/>
      <c r="AZ50" s="74">
        <f t="shared" si="2"/>
        <v>15.64</v>
      </c>
      <c r="BA50" s="22">
        <f t="shared" si="3"/>
        <v>14.824644549763034</v>
      </c>
    </row>
    <row r="51" spans="1:55" x14ac:dyDescent="0.25">
      <c r="A51" s="19" t="s">
        <v>63</v>
      </c>
      <c r="B51" s="20" t="s">
        <v>34</v>
      </c>
      <c r="C51" s="1">
        <v>0.32</v>
      </c>
      <c r="D51" s="22">
        <v>7.36</v>
      </c>
      <c r="E51"/>
      <c r="F51" s="22"/>
      <c r="G51"/>
      <c r="H51" s="22"/>
      <c r="I51"/>
      <c r="J51" s="22">
        <v>5.42</v>
      </c>
      <c r="K51" s="1">
        <v>0.22500000000000001</v>
      </c>
      <c r="L51" s="22">
        <v>5.18</v>
      </c>
      <c r="M51"/>
      <c r="N51" s="22"/>
      <c r="O51" s="1">
        <v>0.15</v>
      </c>
      <c r="P51" s="22">
        <v>3.45</v>
      </c>
      <c r="Q51"/>
      <c r="R51" s="22"/>
      <c r="S51"/>
      <c r="T51" s="22"/>
      <c r="U51" s="73"/>
      <c r="V51" s="22"/>
      <c r="W51"/>
      <c r="X51" s="22"/>
      <c r="Y51" s="1">
        <v>0.16</v>
      </c>
      <c r="Z51" s="22">
        <v>3.68</v>
      </c>
      <c r="AA51"/>
      <c r="AB51" s="22">
        <v>3.52</v>
      </c>
      <c r="AC51"/>
      <c r="AD51" s="22">
        <v>2.5</v>
      </c>
      <c r="AE51" s="1">
        <v>0.2</v>
      </c>
      <c r="AF51" s="22">
        <v>4.5999999999999996</v>
      </c>
      <c r="AG51"/>
      <c r="AH51" s="22"/>
      <c r="AI51" s="1">
        <v>0.13</v>
      </c>
      <c r="AJ51" s="22">
        <v>2.99</v>
      </c>
      <c r="AK51"/>
      <c r="AL51" s="22"/>
      <c r="AM51"/>
      <c r="AN51" s="22"/>
      <c r="AO51"/>
      <c r="AP51" s="22"/>
      <c r="AQ51" s="1">
        <v>0.625</v>
      </c>
      <c r="AR51" s="22">
        <v>14.39</v>
      </c>
      <c r="AS51"/>
      <c r="AT51" s="22"/>
      <c r="AU51"/>
      <c r="AV51" s="22"/>
      <c r="AW51"/>
      <c r="AX51" s="22"/>
      <c r="AY51"/>
      <c r="AZ51" s="74">
        <f t="shared" si="2"/>
        <v>53.09</v>
      </c>
      <c r="BA51" s="22">
        <f t="shared" si="3"/>
        <v>50.322274881516591</v>
      </c>
    </row>
    <row r="52" spans="1:55" x14ac:dyDescent="0.25">
      <c r="A52" s="19" t="s">
        <v>64</v>
      </c>
      <c r="B52" s="20" t="s">
        <v>34</v>
      </c>
      <c r="C52" s="25">
        <v>0.66500000000000004</v>
      </c>
      <c r="D52" s="22">
        <v>25.96</v>
      </c>
      <c r="E52" s="25"/>
      <c r="F52" s="22"/>
      <c r="G52" s="25">
        <v>0.45</v>
      </c>
      <c r="H52" s="22">
        <v>17.559999999999999</v>
      </c>
      <c r="I52" s="25"/>
      <c r="J52" s="22"/>
      <c r="K52" s="1">
        <v>0.4</v>
      </c>
      <c r="L52" s="73">
        <v>15.6</v>
      </c>
      <c r="M52" s="25"/>
      <c r="N52" s="22"/>
      <c r="O52" s="25">
        <v>0.22500000000000001</v>
      </c>
      <c r="P52" s="22">
        <v>8.7799999999999994</v>
      </c>
      <c r="Q52" s="25"/>
      <c r="R52" s="22"/>
      <c r="S52" s="25"/>
      <c r="T52" s="22">
        <v>3.78</v>
      </c>
      <c r="U52" s="73"/>
      <c r="V52" s="22"/>
      <c r="W52" s="85"/>
      <c r="X52" s="22">
        <v>2.6</v>
      </c>
      <c r="Y52" s="25">
        <v>0.315</v>
      </c>
      <c r="Z52" s="22">
        <v>12.3</v>
      </c>
      <c r="AA52" s="25"/>
      <c r="AB52" s="22"/>
      <c r="AC52" s="25"/>
      <c r="AD52" s="22"/>
      <c r="AE52" s="25">
        <v>0.57499999999999996</v>
      </c>
      <c r="AF52" s="22">
        <v>22.44</v>
      </c>
      <c r="AG52" s="25"/>
      <c r="AH52" s="22"/>
      <c r="AI52" s="25">
        <v>7.0000000000000007E-2</v>
      </c>
      <c r="AJ52" s="22">
        <v>2.73</v>
      </c>
      <c r="AK52" s="25"/>
      <c r="AL52" s="22"/>
      <c r="AM52" s="25"/>
      <c r="AN52" s="22"/>
      <c r="AO52" s="25"/>
      <c r="AP52" s="22">
        <v>3.95</v>
      </c>
      <c r="AQ52" s="25"/>
      <c r="AR52" s="22"/>
      <c r="AS52" s="25"/>
      <c r="AT52" s="22"/>
      <c r="AU52" s="25"/>
      <c r="AV52" s="22"/>
      <c r="AW52" s="25"/>
      <c r="AX52" s="22"/>
      <c r="AY52"/>
      <c r="AZ52" s="74">
        <f t="shared" si="2"/>
        <v>115.70000000000002</v>
      </c>
      <c r="BA52" s="22">
        <f t="shared" si="3"/>
        <v>109.66824644549766</v>
      </c>
    </row>
    <row r="53" spans="1:55" x14ac:dyDescent="0.25">
      <c r="A53" s="19" t="s">
        <v>65</v>
      </c>
      <c r="B53" s="20" t="s">
        <v>34</v>
      </c>
      <c r="C53" s="25">
        <v>2.0049999999999999</v>
      </c>
      <c r="D53" s="22">
        <v>46.13</v>
      </c>
      <c r="E53" s="25"/>
      <c r="F53" s="22">
        <v>10</v>
      </c>
      <c r="G53" s="25"/>
      <c r="H53" s="22"/>
      <c r="I53" s="25"/>
      <c r="J53" s="22"/>
      <c r="K53" s="1">
        <v>0.97</v>
      </c>
      <c r="L53" s="73">
        <v>22.32</v>
      </c>
      <c r="M53" s="25"/>
      <c r="N53" s="22"/>
      <c r="O53" s="25"/>
      <c r="P53" s="22"/>
      <c r="Q53" s="25"/>
      <c r="R53" s="22"/>
      <c r="S53" s="25"/>
      <c r="T53" s="22"/>
      <c r="U53" s="73"/>
      <c r="V53" s="73"/>
      <c r="W53" s="25"/>
      <c r="X53" s="22">
        <v>4.3499999999999996</v>
      </c>
      <c r="Y53" s="25">
        <v>1.405</v>
      </c>
      <c r="Z53" s="22">
        <v>32.35</v>
      </c>
      <c r="AA53" s="25"/>
      <c r="AB53" s="22">
        <v>8.0299999999999994</v>
      </c>
      <c r="AC53" s="25"/>
      <c r="AD53" s="22"/>
      <c r="AE53" s="25"/>
      <c r="AF53" s="22"/>
      <c r="AG53" s="25"/>
      <c r="AH53" s="22">
        <v>3.5</v>
      </c>
      <c r="AI53" s="25">
        <v>1.605</v>
      </c>
      <c r="AJ53" s="22">
        <v>36.93</v>
      </c>
      <c r="AK53" s="25"/>
      <c r="AL53" s="22">
        <v>1.5</v>
      </c>
      <c r="AM53" s="25"/>
      <c r="AN53" s="22"/>
      <c r="AO53" s="25"/>
      <c r="AP53" s="22"/>
      <c r="AQ53" s="25">
        <v>0.96</v>
      </c>
      <c r="AR53" s="22">
        <v>22.09</v>
      </c>
      <c r="AS53" s="25"/>
      <c r="AT53" s="22"/>
      <c r="AU53" s="25"/>
      <c r="AV53" s="22"/>
      <c r="AW53" s="25"/>
      <c r="AX53" s="22"/>
      <c r="AY53"/>
      <c r="AZ53" s="74">
        <f t="shared" si="2"/>
        <v>187.2</v>
      </c>
      <c r="BA53" s="22">
        <f t="shared" si="3"/>
        <v>177.44075829383885</v>
      </c>
    </row>
    <row r="54" spans="1:55" x14ac:dyDescent="0.25">
      <c r="A54" s="19" t="s">
        <v>66</v>
      </c>
      <c r="B54" s="20" t="s">
        <v>34</v>
      </c>
      <c r="C54" s="25">
        <v>2.5550000000000002</v>
      </c>
      <c r="D54" s="22">
        <v>24.28</v>
      </c>
      <c r="E54" s="25"/>
      <c r="F54" s="22">
        <v>15.55</v>
      </c>
      <c r="G54" s="25">
        <v>0.44</v>
      </c>
      <c r="H54" s="22">
        <v>4.18</v>
      </c>
      <c r="I54" s="25"/>
      <c r="J54" s="22">
        <v>12.23</v>
      </c>
      <c r="K54" s="1">
        <v>1.7050000000000001</v>
      </c>
      <c r="L54" s="73">
        <v>16.190000000000001</v>
      </c>
      <c r="M54" s="25"/>
      <c r="N54" s="22">
        <v>11.72</v>
      </c>
      <c r="O54" s="25">
        <v>2.0449999999999999</v>
      </c>
      <c r="P54" s="22">
        <v>19.440000000000001</v>
      </c>
      <c r="Q54" s="25"/>
      <c r="R54" s="22"/>
      <c r="S54" s="25"/>
      <c r="T54" s="22"/>
      <c r="U54" s="73"/>
      <c r="V54" s="73"/>
      <c r="W54" s="25"/>
      <c r="X54" s="22">
        <v>4.6500000000000004</v>
      </c>
      <c r="Y54" s="25">
        <v>1.385</v>
      </c>
      <c r="Z54" s="22">
        <v>13.16</v>
      </c>
      <c r="AA54" s="25"/>
      <c r="AB54" s="22">
        <v>28</v>
      </c>
      <c r="AC54" s="25"/>
      <c r="AD54" s="22">
        <v>3</v>
      </c>
      <c r="AE54" s="25">
        <v>0.65</v>
      </c>
      <c r="AF54" s="22">
        <v>6.18</v>
      </c>
      <c r="AG54" s="25"/>
      <c r="AH54" s="22">
        <v>8.94</v>
      </c>
      <c r="AI54" s="25">
        <v>1.7949999999999999</v>
      </c>
      <c r="AJ54" s="22">
        <v>17.05</v>
      </c>
      <c r="AK54" s="25"/>
      <c r="AL54" s="22"/>
      <c r="AM54" s="25"/>
      <c r="AN54" s="22"/>
      <c r="AO54" s="25"/>
      <c r="AP54" s="22">
        <v>5.43</v>
      </c>
      <c r="AQ54" s="25">
        <v>0.96499999999999997</v>
      </c>
      <c r="AR54" s="22">
        <v>9.17</v>
      </c>
      <c r="AS54" s="25"/>
      <c r="AT54" s="22"/>
      <c r="AU54" s="25"/>
      <c r="AV54" s="22"/>
      <c r="AW54" s="25"/>
      <c r="AX54" s="22"/>
      <c r="AY54"/>
      <c r="AZ54" s="74">
        <f t="shared" si="2"/>
        <v>199.17000000000002</v>
      </c>
      <c r="BA54" s="22">
        <f t="shared" si="3"/>
        <v>188.78672985781992</v>
      </c>
    </row>
    <row r="55" spans="1:55" x14ac:dyDescent="0.25">
      <c r="A55" s="19" t="s">
        <v>38</v>
      </c>
      <c r="B55" s="20" t="s">
        <v>34</v>
      </c>
      <c r="C55" s="25"/>
      <c r="D55" s="22"/>
      <c r="E55" s="25"/>
      <c r="F55" s="22"/>
      <c r="G55" s="25"/>
      <c r="H55" s="22"/>
      <c r="I55" s="25"/>
      <c r="J55" s="22"/>
      <c r="K55" s="1"/>
      <c r="L55" s="73"/>
      <c r="M55" s="25"/>
      <c r="N55" s="22"/>
      <c r="O55" s="25"/>
      <c r="P55" s="22"/>
      <c r="Q55" s="25"/>
      <c r="R55" s="22"/>
      <c r="S55" s="25"/>
      <c r="T55" s="22"/>
      <c r="U55" s="73"/>
      <c r="V55" s="73"/>
      <c r="W55" s="25"/>
      <c r="X55" s="22"/>
      <c r="Y55" s="25"/>
      <c r="Z55" s="22"/>
      <c r="AA55" s="25"/>
      <c r="AB55" s="22">
        <v>6</v>
      </c>
      <c r="AC55" s="25"/>
      <c r="AD55" s="22"/>
      <c r="AE55" s="25"/>
      <c r="AF55" s="22"/>
      <c r="AG55" s="25"/>
      <c r="AH55" s="22"/>
      <c r="AI55" s="25"/>
      <c r="AJ55" s="22"/>
      <c r="AK55" s="25"/>
      <c r="AL55" s="22">
        <v>2.2999999999999998</v>
      </c>
      <c r="AM55" s="25"/>
      <c r="AN55" s="22"/>
      <c r="AO55" s="25"/>
      <c r="AP55" s="22">
        <v>7.5</v>
      </c>
      <c r="AQ55" s="25"/>
      <c r="AR55" s="22"/>
      <c r="AS55" s="25"/>
      <c r="AT55" s="22"/>
      <c r="AU55" s="25"/>
      <c r="AV55" s="22"/>
      <c r="AW55" s="25"/>
      <c r="AX55" s="22"/>
      <c r="AY55"/>
      <c r="AZ55" s="74">
        <f t="shared" si="2"/>
        <v>15.8</v>
      </c>
      <c r="BA55" s="22">
        <f t="shared" si="3"/>
        <v>14.976303317535546</v>
      </c>
    </row>
    <row r="56" spans="1:55" x14ac:dyDescent="0.25">
      <c r="A56" s="19" t="s">
        <v>114</v>
      </c>
      <c r="B56" s="20"/>
      <c r="C56" s="25"/>
      <c r="D56" s="22"/>
      <c r="E56" s="25"/>
      <c r="F56" s="22"/>
      <c r="G56" s="25"/>
      <c r="H56" s="22"/>
      <c r="I56" s="25"/>
      <c r="J56" s="22"/>
      <c r="K56" s="1"/>
      <c r="L56" s="73"/>
      <c r="M56" s="25"/>
      <c r="N56" s="22"/>
      <c r="O56" s="25"/>
      <c r="P56" s="22"/>
      <c r="Q56" s="25"/>
      <c r="R56" s="22"/>
      <c r="S56" s="25"/>
      <c r="T56" s="22"/>
      <c r="U56" s="73"/>
      <c r="V56" s="73"/>
      <c r="W56" s="25"/>
      <c r="X56" s="22"/>
      <c r="Y56" s="25"/>
      <c r="Z56" s="22"/>
      <c r="AA56" s="25"/>
      <c r="AB56" s="22"/>
      <c r="AC56" s="25"/>
      <c r="AD56" s="22"/>
      <c r="AE56" s="25"/>
      <c r="AF56" s="22"/>
      <c r="AG56" s="25"/>
      <c r="AH56" s="22"/>
      <c r="AI56" s="25"/>
      <c r="AJ56" s="22"/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 s="25"/>
      <c r="AX56" s="22"/>
      <c r="AY56"/>
      <c r="AZ56" s="74">
        <f t="shared" si="2"/>
        <v>0</v>
      </c>
      <c r="BA56" s="22">
        <f t="shared" si="3"/>
        <v>0</v>
      </c>
    </row>
    <row r="57" spans="1:55" s="18" customFormat="1" x14ac:dyDescent="0.25">
      <c r="A57" s="12" t="s">
        <v>67</v>
      </c>
      <c r="B57" s="13"/>
      <c r="C57" s="14"/>
      <c r="D57" s="15">
        <f>SUM(D58:D59)</f>
        <v>4.5999999999999996</v>
      </c>
      <c r="E57" s="14"/>
      <c r="F57" s="15">
        <f>SUM(F58:F59)</f>
        <v>2.5</v>
      </c>
      <c r="G57" s="14"/>
      <c r="H57" s="15">
        <f>SUM(H58:H59)</f>
        <v>6.9</v>
      </c>
      <c r="I57" s="14"/>
      <c r="J57" s="15">
        <f>SUM(J58:J59)</f>
        <v>5</v>
      </c>
      <c r="K57" s="70"/>
      <c r="L57" s="70">
        <f>SUM(L58:L59)</f>
        <v>2.2999999999999998</v>
      </c>
      <c r="M57" s="14"/>
      <c r="N57" s="15">
        <f>SUM(N58:N59)</f>
        <v>5</v>
      </c>
      <c r="O57" s="14"/>
      <c r="P57" s="15">
        <f>SUM(P58:P59)</f>
        <v>4.5999999999999996</v>
      </c>
      <c r="Q57" s="14"/>
      <c r="R57" s="15">
        <f>SUM(R58:R59)</f>
        <v>2</v>
      </c>
      <c r="S57" s="14"/>
      <c r="T57" s="15">
        <f>SUM(T58:T59)</f>
        <v>4</v>
      </c>
      <c r="U57" s="70"/>
      <c r="V57" s="70">
        <f>SUM(V58:V59)</f>
        <v>10</v>
      </c>
      <c r="W57" s="14"/>
      <c r="X57" s="15">
        <f>SUM(X58:X59)</f>
        <v>5</v>
      </c>
      <c r="Y57" s="14"/>
      <c r="Z57" s="15">
        <f>SUM(Z58:Z59)</f>
        <v>0</v>
      </c>
      <c r="AA57" s="14"/>
      <c r="AB57" s="15">
        <f>SUM(AB58:AB59)</f>
        <v>2.5</v>
      </c>
      <c r="AC57" s="14"/>
      <c r="AD57" s="15">
        <f>SUM(AD58:AD59)</f>
        <v>4</v>
      </c>
      <c r="AE57" s="14"/>
      <c r="AF57" s="15">
        <f>SUM(AF58:AF59)</f>
        <v>2.2999999999999998</v>
      </c>
      <c r="AG57" s="14"/>
      <c r="AH57" s="15">
        <f>SUM(AH58:AH59)</f>
        <v>2.5</v>
      </c>
      <c r="AI57" s="14"/>
      <c r="AJ57" s="15">
        <f>SUM(AJ58:AJ59)</f>
        <v>9.1999999999999993</v>
      </c>
      <c r="AK57" s="14"/>
      <c r="AL57" s="15">
        <f>SUM(AL58:AL59)</f>
        <v>2.5</v>
      </c>
      <c r="AM57" s="14"/>
      <c r="AN57" s="15">
        <f>SUM(AN58:AN59)</f>
        <v>2</v>
      </c>
      <c r="AO57" s="14"/>
      <c r="AP57" s="15">
        <f>SUM(AP58:AP59)</f>
        <v>0</v>
      </c>
      <c r="AQ57" s="14"/>
      <c r="AR57" s="15">
        <f>SUM(AR58:AR59)</f>
        <v>9.1999999999999993</v>
      </c>
      <c r="AS57" s="14"/>
      <c r="AT57" s="15">
        <f>SUM(AT58:AT59)</f>
        <v>0</v>
      </c>
      <c r="AU57" s="14"/>
      <c r="AV57" s="15">
        <f>SUM(AV58:AV59)</f>
        <v>0</v>
      </c>
      <c r="AW57" s="14"/>
      <c r="AX57" s="15">
        <f>SUM(AX58:AX59)</f>
        <v>0</v>
      </c>
      <c r="AZ57" s="71">
        <f t="shared" si="2"/>
        <v>76.099999999999994</v>
      </c>
      <c r="BA57" s="15">
        <f t="shared" si="3"/>
        <v>72.132701421800945</v>
      </c>
    </row>
    <row r="58" spans="1:55" x14ac:dyDescent="0.25">
      <c r="A58" s="19" t="s">
        <v>68</v>
      </c>
      <c r="B58" s="20" t="s">
        <v>69</v>
      </c>
      <c r="C58" s="21">
        <v>2</v>
      </c>
      <c r="D58" s="22">
        <v>4.5999999999999996</v>
      </c>
      <c r="E58" s="21"/>
      <c r="F58" s="22">
        <v>2.5</v>
      </c>
      <c r="G58" s="21">
        <v>3</v>
      </c>
      <c r="H58" s="22">
        <v>6.9</v>
      </c>
      <c r="I58" s="21">
        <v>2</v>
      </c>
      <c r="J58" s="22">
        <v>5</v>
      </c>
      <c r="K58" s="24">
        <v>1</v>
      </c>
      <c r="L58" s="73">
        <v>2.2999999999999998</v>
      </c>
      <c r="M58" s="21">
        <v>2</v>
      </c>
      <c r="N58" s="22">
        <v>5</v>
      </c>
      <c r="O58" s="21">
        <v>2</v>
      </c>
      <c r="P58" s="22">
        <v>4.5999999999999996</v>
      </c>
      <c r="Q58" s="21">
        <v>1</v>
      </c>
      <c r="R58" s="22">
        <v>2</v>
      </c>
      <c r="S58" s="21">
        <v>2</v>
      </c>
      <c r="T58" s="22">
        <v>4</v>
      </c>
      <c r="U58" s="73"/>
      <c r="V58" s="73">
        <v>10</v>
      </c>
      <c r="W58" s="21">
        <v>2</v>
      </c>
      <c r="X58" s="22">
        <v>5</v>
      </c>
      <c r="Y58" s="21"/>
      <c r="Z58" s="22"/>
      <c r="AA58" s="21">
        <v>1</v>
      </c>
      <c r="AB58" s="22">
        <v>2.5</v>
      </c>
      <c r="AC58" s="21"/>
      <c r="AD58" s="22">
        <v>4</v>
      </c>
      <c r="AE58" s="21">
        <v>1</v>
      </c>
      <c r="AF58" s="22">
        <v>2.2999999999999998</v>
      </c>
      <c r="AG58" s="21"/>
      <c r="AH58" s="22">
        <v>2.5</v>
      </c>
      <c r="AI58" s="21">
        <v>4</v>
      </c>
      <c r="AJ58" s="22">
        <v>9.1999999999999993</v>
      </c>
      <c r="AK58" s="21">
        <v>1</v>
      </c>
      <c r="AL58" s="22">
        <v>2.5</v>
      </c>
      <c r="AM58" s="21">
        <v>1</v>
      </c>
      <c r="AN58" s="22">
        <v>2</v>
      </c>
      <c r="AO58" s="21"/>
      <c r="AP58" s="22"/>
      <c r="AQ58" s="21">
        <v>4</v>
      </c>
      <c r="AR58" s="22">
        <v>9.1999999999999993</v>
      </c>
      <c r="AS58" s="21"/>
      <c r="AT58" s="22"/>
      <c r="AU58" s="21"/>
      <c r="AV58" s="22"/>
      <c r="AW58" s="21"/>
      <c r="AX58" s="22"/>
      <c r="AY58"/>
      <c r="AZ58" s="74">
        <f t="shared" si="2"/>
        <v>76.099999999999994</v>
      </c>
      <c r="BA58" s="22">
        <f t="shared" si="3"/>
        <v>72.132701421800945</v>
      </c>
      <c r="BC58" s="75"/>
    </row>
    <row r="59" spans="1:55" x14ac:dyDescent="0.25">
      <c r="A59" s="7" t="s">
        <v>70</v>
      </c>
      <c r="B59" s="8" t="s">
        <v>69</v>
      </c>
      <c r="C59" s="26"/>
      <c r="D59" s="10"/>
      <c r="E59" s="26"/>
      <c r="F59" s="10"/>
      <c r="G59" s="26"/>
      <c r="H59" s="10"/>
      <c r="I59" s="26"/>
      <c r="J59" s="10"/>
      <c r="K59" s="26"/>
      <c r="L59" s="68"/>
      <c r="M59" s="26"/>
      <c r="N59" s="10"/>
      <c r="O59" s="26"/>
      <c r="P59" s="10"/>
      <c r="Q59" s="26"/>
      <c r="R59" s="10"/>
      <c r="S59" s="26"/>
      <c r="T59" s="10"/>
      <c r="U59" s="68"/>
      <c r="V59" s="68"/>
      <c r="W59" s="26"/>
      <c r="X59" s="10"/>
      <c r="Y59" s="26"/>
      <c r="Z59" s="10"/>
      <c r="AA59" s="26"/>
      <c r="AB59" s="10"/>
      <c r="AC59" s="26"/>
      <c r="AD59" s="10"/>
      <c r="AE59" s="26"/>
      <c r="AF59" s="10"/>
      <c r="AG59" s="26"/>
      <c r="AH59" s="10"/>
      <c r="AI59" s="26"/>
      <c r="AJ59" s="10"/>
      <c r="AK59" s="26"/>
      <c r="AL59" s="10"/>
      <c r="AM59" s="26"/>
      <c r="AN59" s="10"/>
      <c r="AO59" s="26"/>
      <c r="AP59" s="10"/>
      <c r="AQ59" s="26"/>
      <c r="AR59" s="10"/>
      <c r="AS59" s="26"/>
      <c r="AT59" s="10"/>
      <c r="AU59" s="26"/>
      <c r="AV59" s="10"/>
      <c r="AW59" s="26"/>
      <c r="AX59" s="10"/>
      <c r="AY59"/>
      <c r="AZ59" s="77">
        <f t="shared" si="2"/>
        <v>0</v>
      </c>
      <c r="BA59" s="10">
        <f t="shared" si="3"/>
        <v>0</v>
      </c>
    </row>
    <row r="60" spans="1:55" s="18" customFormat="1" x14ac:dyDescent="0.25">
      <c r="A60" s="12" t="s">
        <v>71</v>
      </c>
      <c r="B60" s="13"/>
      <c r="C60" s="14"/>
      <c r="D60" s="15">
        <f>SUM(D61:D61)</f>
        <v>0</v>
      </c>
      <c r="E60" s="14"/>
      <c r="F60" s="15">
        <f>SUM(F61:F61)</f>
        <v>4</v>
      </c>
      <c r="G60" s="14"/>
      <c r="H60" s="15">
        <f>SUM(H61:H61)</f>
        <v>0</v>
      </c>
      <c r="I60" s="14"/>
      <c r="J60" s="15">
        <f>SUM(J61:J61)</f>
        <v>6</v>
      </c>
      <c r="K60" s="70"/>
      <c r="L60" s="70"/>
      <c r="M60" s="14"/>
      <c r="N60" s="15">
        <f>SUM(N61:N61)</f>
        <v>4</v>
      </c>
      <c r="O60" s="14"/>
      <c r="P60" s="15">
        <f>SUM(P61:P61)</f>
        <v>0</v>
      </c>
      <c r="Q60" s="14"/>
      <c r="R60" s="15">
        <f>SUM(R61:R61)</f>
        <v>0</v>
      </c>
      <c r="S60" s="14"/>
      <c r="T60" s="15">
        <f>SUM(T61:T61)</f>
        <v>0</v>
      </c>
      <c r="U60" s="70"/>
      <c r="V60" s="70">
        <f>SUM(V61)</f>
        <v>0</v>
      </c>
      <c r="W60" s="14"/>
      <c r="X60" s="15">
        <f>SUM(X61:X61)</f>
        <v>5</v>
      </c>
      <c r="Y60" s="14"/>
      <c r="Z60" s="15">
        <f>SUM(Z61:Z61)</f>
        <v>0</v>
      </c>
      <c r="AA60" s="14"/>
      <c r="AB60" s="15">
        <f>SUM(AB61:AB61)</f>
        <v>2</v>
      </c>
      <c r="AC60" s="14"/>
      <c r="AD60" s="15">
        <f>SUM(AD61:AD61)</f>
        <v>0</v>
      </c>
      <c r="AE60" s="14"/>
      <c r="AF60" s="15">
        <f>SUM(AF61:AF61)</f>
        <v>0</v>
      </c>
      <c r="AG60" s="14"/>
      <c r="AH60" s="15">
        <f>SUM(AH61:AH61)</f>
        <v>2.7</v>
      </c>
      <c r="AI60" s="14"/>
      <c r="AJ60" s="15">
        <f>SUM(AJ61:AJ61)</f>
        <v>0</v>
      </c>
      <c r="AK60" s="14"/>
      <c r="AL60" s="15">
        <f>SUM(AL61:AL61)</f>
        <v>2</v>
      </c>
      <c r="AM60" s="14"/>
      <c r="AN60" s="15">
        <f>SUM(AN61:AN61)</f>
        <v>0</v>
      </c>
      <c r="AO60" s="14"/>
      <c r="AP60" s="15">
        <f>SUM(AP61:AP61)</f>
        <v>2.3199999999999998</v>
      </c>
      <c r="AQ60" s="14"/>
      <c r="AR60" s="15">
        <f>SUM(AR61:AR61)</f>
        <v>0</v>
      </c>
      <c r="AS60" s="14"/>
      <c r="AT60" s="15">
        <f>SUM(AT61:AT61)</f>
        <v>0</v>
      </c>
      <c r="AU60" s="14"/>
      <c r="AV60" s="15">
        <f>SUM(AV61:AV61)</f>
        <v>0</v>
      </c>
      <c r="AW60" s="14"/>
      <c r="AX60" s="15">
        <f>SUM(AX61:AX61)</f>
        <v>0</v>
      </c>
      <c r="AZ60" s="71">
        <f t="shared" si="2"/>
        <v>28.02</v>
      </c>
      <c r="BA60" s="15">
        <f t="shared" si="3"/>
        <v>26.559241706161139</v>
      </c>
    </row>
    <row r="61" spans="1:55" x14ac:dyDescent="0.25">
      <c r="A61" s="7" t="s">
        <v>72</v>
      </c>
      <c r="B61" s="8" t="s">
        <v>73</v>
      </c>
      <c r="C61" s="26"/>
      <c r="D61" s="10"/>
      <c r="E61" s="26">
        <v>14</v>
      </c>
      <c r="F61" s="10">
        <v>4</v>
      </c>
      <c r="G61" s="26"/>
      <c r="H61" s="10"/>
      <c r="I61" s="26">
        <v>18</v>
      </c>
      <c r="J61" s="10">
        <v>6</v>
      </c>
      <c r="K61" s="76"/>
      <c r="L61" s="68"/>
      <c r="M61" s="26">
        <v>13</v>
      </c>
      <c r="N61" s="10">
        <v>4</v>
      </c>
      <c r="O61" s="26"/>
      <c r="P61" s="10"/>
      <c r="Q61" s="26"/>
      <c r="R61" s="10"/>
      <c r="S61" s="26"/>
      <c r="T61" s="10"/>
      <c r="U61" s="68"/>
      <c r="V61" s="68"/>
      <c r="W61" s="26">
        <v>3</v>
      </c>
      <c r="X61" s="10">
        <v>5</v>
      </c>
      <c r="Y61" s="26"/>
      <c r="Z61" s="10"/>
      <c r="AA61" s="26">
        <v>6</v>
      </c>
      <c r="AB61" s="10">
        <v>2</v>
      </c>
      <c r="AC61" s="26"/>
      <c r="AD61" s="10"/>
      <c r="AE61" s="26"/>
      <c r="AF61" s="10"/>
      <c r="AG61" s="26"/>
      <c r="AH61" s="10">
        <v>2.7</v>
      </c>
      <c r="AI61" s="26"/>
      <c r="AJ61" s="10"/>
      <c r="AK61" s="26"/>
      <c r="AL61" s="10">
        <v>2</v>
      </c>
      <c r="AM61" s="26"/>
      <c r="AN61" s="10"/>
      <c r="AO61" s="26"/>
      <c r="AP61" s="10">
        <v>2.3199999999999998</v>
      </c>
      <c r="AQ61" s="26"/>
      <c r="AR61" s="10"/>
      <c r="AS61" s="26"/>
      <c r="AT61" s="10"/>
      <c r="AU61" s="26"/>
      <c r="AV61" s="10"/>
      <c r="AW61" s="26"/>
      <c r="AX61" s="10"/>
      <c r="AY61"/>
      <c r="AZ61" s="77">
        <f t="shared" si="2"/>
        <v>28.02</v>
      </c>
      <c r="BA61" s="10">
        <f t="shared" si="3"/>
        <v>26.559241706161139</v>
      </c>
    </row>
    <row r="62" spans="1:55" s="30" customFormat="1" x14ac:dyDescent="0.25">
      <c r="A62" s="138" t="s">
        <v>74</v>
      </c>
      <c r="B62" s="138"/>
      <c r="C62" s="28"/>
      <c r="D62" s="29">
        <f>D3+D31+D48+D57+D60</f>
        <v>1119.9199999999998</v>
      </c>
      <c r="E62" s="28"/>
      <c r="F62" s="29">
        <f>F3+F31+F48+F57+F60</f>
        <v>390.68000000000006</v>
      </c>
      <c r="G62" s="28"/>
      <c r="H62" s="29">
        <f>H3+H31+H48+H57+H60</f>
        <v>798.89</v>
      </c>
      <c r="I62" s="28"/>
      <c r="J62" s="29">
        <f>J3+J31+J48+J57+J60</f>
        <v>378.12</v>
      </c>
      <c r="K62" s="29"/>
      <c r="L62" s="29">
        <f>L3+L31+L48+L57+L60</f>
        <v>1108.53</v>
      </c>
      <c r="M62" s="28"/>
      <c r="N62" s="29">
        <f>N3+N31+N48+N57+N60</f>
        <v>445.16</v>
      </c>
      <c r="O62" s="28"/>
      <c r="P62" s="29">
        <f>P3+P31+P48+P57+P60</f>
        <v>790.18000000000006</v>
      </c>
      <c r="Q62" s="28"/>
      <c r="R62" s="29">
        <f>R3+R31+R48+R57+R60</f>
        <v>37.549999999999997</v>
      </c>
      <c r="S62" s="28"/>
      <c r="T62" s="29">
        <f>T3+T31+T48+T57+T60</f>
        <v>54.7</v>
      </c>
      <c r="U62" s="29"/>
      <c r="V62" s="29">
        <f>SUM(V4:V61)</f>
        <v>53.44</v>
      </c>
      <c r="W62" s="28"/>
      <c r="X62" s="29">
        <f>X3+X31+X48+X57+X60</f>
        <v>260.49</v>
      </c>
      <c r="Y62" s="28"/>
      <c r="Z62" s="29">
        <f>Z3+Z31+Z48+Z57+Z60</f>
        <v>1226.2499999999998</v>
      </c>
      <c r="AA62" s="28"/>
      <c r="AB62" s="29">
        <f>AB3+AB31+AB48+AB57+AB60</f>
        <v>552.27</v>
      </c>
      <c r="AC62" s="28"/>
      <c r="AD62" s="29">
        <f>AD3+AD31+AD48+AD57+AD60</f>
        <v>36.25</v>
      </c>
      <c r="AE62" s="28"/>
      <c r="AF62" s="29">
        <f>AF3+AF31+AF48+AF57+AF60</f>
        <v>832.48000000000013</v>
      </c>
      <c r="AG62" s="28"/>
      <c r="AH62" s="29">
        <f>AH3+AH31+AH48+AH57+AH60</f>
        <v>325.33999999999997</v>
      </c>
      <c r="AI62" s="28"/>
      <c r="AJ62" s="29">
        <f>AJ3+AJ31+AJ48+AJ57+AJ60</f>
        <v>932.43000000000018</v>
      </c>
      <c r="AK62" s="28"/>
      <c r="AL62" s="29">
        <f>AL3+AL31+AL48+AL57+AL60</f>
        <v>308.39000000000004</v>
      </c>
      <c r="AM62" s="28"/>
      <c r="AN62" s="29">
        <f>AN3+AN31+AN48+AN57+AN60</f>
        <v>24.99</v>
      </c>
      <c r="AO62" s="28"/>
      <c r="AP62" s="29">
        <f>AP3+AP31+AP48+AP57+AP60</f>
        <v>271.71000000000004</v>
      </c>
      <c r="AQ62" s="28"/>
      <c r="AR62" s="29">
        <f>AR3+AR31+AR48+AR57+AR60</f>
        <v>830.1400000000001</v>
      </c>
      <c r="AS62" s="28"/>
      <c r="AT62" s="29">
        <f>AT3+AT31+AT48+AT57+AT60</f>
        <v>0</v>
      </c>
      <c r="AU62" s="28"/>
      <c r="AV62" s="29">
        <f>AV3+AV31+AV48+AV57+AV60</f>
        <v>0</v>
      </c>
      <c r="AW62" s="28"/>
      <c r="AX62" s="29">
        <f>AX3+AX31+AX48+AX57+AX60</f>
        <v>0</v>
      </c>
      <c r="AY62" s="29"/>
      <c r="AZ62" s="28">
        <f t="shared" si="2"/>
        <v>10724.47</v>
      </c>
      <c r="BA62" s="29">
        <f t="shared" si="3"/>
        <v>10165.374407582938</v>
      </c>
    </row>
    <row r="63" spans="1:55" x14ac:dyDescent="0.2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78"/>
      <c r="BB63" s="91"/>
    </row>
    <row r="64" spans="1:55" x14ac:dyDescent="0.25">
      <c r="A64" s="139" t="s">
        <v>75</v>
      </c>
      <c r="B64" s="33" t="s">
        <v>76</v>
      </c>
      <c r="C64" s="34"/>
      <c r="D64" s="35">
        <f>1120-34.11</f>
        <v>1085.8900000000001</v>
      </c>
      <c r="E64" s="34"/>
      <c r="F64" s="36">
        <v>380</v>
      </c>
      <c r="G64" s="34"/>
      <c r="H64" s="37">
        <f>734.5-23.81</f>
        <v>710.69</v>
      </c>
      <c r="I64" s="34"/>
      <c r="J64" s="37">
        <f>407-55.89</f>
        <v>351.11</v>
      </c>
      <c r="K64" s="36"/>
      <c r="L64" s="36">
        <f>1080-78.87</f>
        <v>1001.13</v>
      </c>
      <c r="M64" s="34"/>
      <c r="N64" s="37">
        <v>445</v>
      </c>
      <c r="O64" s="34"/>
      <c r="P64" s="37">
        <f>744-49.8</f>
        <v>694.2</v>
      </c>
      <c r="Q64" s="34"/>
      <c r="R64" s="36"/>
      <c r="S64" s="34"/>
      <c r="T64" s="37"/>
      <c r="U64" s="36"/>
      <c r="V64" s="36"/>
      <c r="W64" s="34"/>
      <c r="X64" s="37">
        <f>274-13.39</f>
        <v>260.61</v>
      </c>
      <c r="Y64" s="34"/>
      <c r="Z64" s="37">
        <f>1140-52.38</f>
        <v>1087.6199999999999</v>
      </c>
      <c r="AA64" s="34"/>
      <c r="AB64" s="37">
        <f>560-33</f>
        <v>527</v>
      </c>
      <c r="AC64" s="34"/>
      <c r="AD64" s="37">
        <f>39.2-2.5</f>
        <v>36.700000000000003</v>
      </c>
      <c r="AE64" s="34"/>
      <c r="AF64" s="37">
        <f>799.3-72.69</f>
        <v>726.6099999999999</v>
      </c>
      <c r="AG64" s="34"/>
      <c r="AH64" s="37">
        <f>352-47.58</f>
        <v>304.42</v>
      </c>
      <c r="AI64" s="34"/>
      <c r="AJ64" s="37">
        <f>892.2-63.04</f>
        <v>829.16000000000008</v>
      </c>
      <c r="AK64" s="34"/>
      <c r="AL64" s="37">
        <v>308</v>
      </c>
      <c r="AM64" s="34"/>
      <c r="AN64" s="37"/>
      <c r="AO64" s="34"/>
      <c r="AP64" s="37">
        <f>315-43.02</f>
        <v>271.98</v>
      </c>
      <c r="AQ64" s="34"/>
      <c r="AR64" s="37">
        <f>801-43.41</f>
        <v>757.59</v>
      </c>
      <c r="AS64" s="34"/>
      <c r="AT64" s="37"/>
      <c r="AU64" s="34"/>
      <c r="AV64" s="37"/>
      <c r="AW64" s="34"/>
      <c r="AX64" s="37"/>
      <c r="AY64" s="79"/>
      <c r="AZ64" s="92">
        <f>SUM(D64,F64,H64,J64,L64,N64,P64,R64,T64,X64,Z64,AB64,AD64,AF64,AH64,AJ64,AL64,AN64,AP64,AR64,AT64,AV64,AX64)</f>
        <v>9777.7099999999991</v>
      </c>
      <c r="BA64" s="37">
        <f>AZ64/1.055</f>
        <v>9267.971563981042</v>
      </c>
    </row>
    <row r="65" spans="1:53" x14ac:dyDescent="0.25">
      <c r="A65" s="139"/>
      <c r="B65" s="38" t="s">
        <v>77</v>
      </c>
      <c r="C65" s="39">
        <v>3</v>
      </c>
      <c r="D65" s="40">
        <v>34.11</v>
      </c>
      <c r="E65" s="39"/>
      <c r="F65" s="41"/>
      <c r="G65" s="39">
        <v>4</v>
      </c>
      <c r="H65" s="42">
        <v>88.3</v>
      </c>
      <c r="I65" s="39">
        <v>2</v>
      </c>
      <c r="J65" s="42">
        <v>28.9</v>
      </c>
      <c r="K65" s="88">
        <v>7</v>
      </c>
      <c r="L65" s="41">
        <v>107.78</v>
      </c>
      <c r="M65" s="39"/>
      <c r="N65" s="42"/>
      <c r="O65" s="39"/>
      <c r="P65" s="42">
        <v>96.55</v>
      </c>
      <c r="Q65" s="43"/>
      <c r="R65" s="41"/>
      <c r="S65" s="39"/>
      <c r="T65" s="42"/>
      <c r="U65" s="41"/>
      <c r="V65" s="41"/>
      <c r="W65" s="39"/>
      <c r="X65" s="42"/>
      <c r="Y65" s="39">
        <v>9</v>
      </c>
      <c r="Z65" s="42">
        <v>139.09</v>
      </c>
      <c r="AA65" s="39">
        <v>1</v>
      </c>
      <c r="AB65" s="42">
        <v>25</v>
      </c>
      <c r="AC65" s="39"/>
      <c r="AD65" s="42"/>
      <c r="AE65" s="39">
        <v>5</v>
      </c>
      <c r="AF65" s="42">
        <v>106.25</v>
      </c>
      <c r="AG65" s="39">
        <v>1</v>
      </c>
      <c r="AH65" s="42">
        <v>21</v>
      </c>
      <c r="AI65" s="39">
        <v>6</v>
      </c>
      <c r="AJ65" s="42">
        <v>105.54</v>
      </c>
      <c r="AK65" s="39"/>
      <c r="AL65" s="42"/>
      <c r="AM65" s="39"/>
      <c r="AN65" s="42"/>
      <c r="AO65" s="39"/>
      <c r="AP65" s="42"/>
      <c r="AQ65" s="39">
        <v>5</v>
      </c>
      <c r="AR65" s="42">
        <v>73.3</v>
      </c>
      <c r="AS65" s="39"/>
      <c r="AT65" s="42"/>
      <c r="AU65" s="39"/>
      <c r="AV65" s="42"/>
      <c r="AW65" s="39"/>
      <c r="AX65" s="42"/>
      <c r="AY65" s="80">
        <f>SUM(C65,E65,G65,I65,K65,M65,O65,Q65,S65,W65,Y65,AA65,AC65,AE65,AG65,AI65,AK65,AM65,AO65,AQ65,AS65,AU65,AW65)</f>
        <v>43</v>
      </c>
      <c r="AZ65" s="93">
        <f>SUM(D65,F65,H65,J65,L65,N65,P65,R65,T65,X65,Z65,AB65,AD65,AF65,AH65,AJ65,AL65,AN65,AP65,AR65,AT65,AV65,AX65)</f>
        <v>825.81999999999994</v>
      </c>
      <c r="BA65" s="42">
        <f>AZ65/1.055</f>
        <v>782.76777251184831</v>
      </c>
    </row>
    <row r="66" spans="1:53" x14ac:dyDescent="0.25">
      <c r="A66" s="139"/>
      <c r="B66" s="38" t="s">
        <v>157</v>
      </c>
      <c r="C66" s="43"/>
      <c r="D66" s="40"/>
      <c r="E66" s="43"/>
      <c r="F66" s="41"/>
      <c r="G66" s="43"/>
      <c r="H66" s="42"/>
      <c r="I66" s="43"/>
      <c r="J66" s="42"/>
      <c r="K66" s="41"/>
      <c r="L66" s="41"/>
      <c r="M66" s="43"/>
      <c r="N66" s="42"/>
      <c r="O66" s="43"/>
      <c r="P66" s="42"/>
      <c r="Q66" s="43"/>
      <c r="R66" s="41"/>
      <c r="S66" s="43"/>
      <c r="T66" s="42"/>
      <c r="U66" s="41"/>
      <c r="V66" s="41"/>
      <c r="W66" s="43"/>
      <c r="X66" s="42"/>
      <c r="Y66" s="43"/>
      <c r="Z66" s="42"/>
      <c r="AA66" s="43"/>
      <c r="AB66" s="42"/>
      <c r="AC66" s="43"/>
      <c r="AD66" s="42"/>
      <c r="AE66" s="43"/>
      <c r="AF66" s="42"/>
      <c r="AG66" s="43"/>
      <c r="AH66" s="42"/>
      <c r="AI66" s="43"/>
      <c r="AJ66" s="42"/>
      <c r="AK66" s="43"/>
      <c r="AL66" s="42"/>
      <c r="AM66" s="43"/>
      <c r="AN66" s="42"/>
      <c r="AO66" s="43"/>
      <c r="AP66" s="42"/>
      <c r="AQ66" s="43"/>
      <c r="AR66" s="42"/>
      <c r="AS66" s="43"/>
      <c r="AT66" s="42"/>
      <c r="AU66" s="43"/>
      <c r="AV66" s="42"/>
      <c r="AW66" s="43"/>
      <c r="AX66" s="42"/>
      <c r="AY66" s="81"/>
      <c r="AZ66" s="94"/>
      <c r="BA66" s="42"/>
    </row>
    <row r="67" spans="1:53" s="51" customFormat="1" x14ac:dyDescent="0.25">
      <c r="A67" s="139"/>
      <c r="B67" s="44" t="s">
        <v>78</v>
      </c>
      <c r="C67" s="45"/>
      <c r="D67" s="46">
        <f>SUM(D64:D66)</f>
        <v>1120</v>
      </c>
      <c r="E67" s="45"/>
      <c r="F67" s="47">
        <f>SUM(F64:F66)</f>
        <v>380</v>
      </c>
      <c r="G67" s="45"/>
      <c r="H67" s="48">
        <f>SUM(H64:H66)</f>
        <v>798.99</v>
      </c>
      <c r="I67" s="45"/>
      <c r="J67" s="48">
        <f>SUM(J64:J66)</f>
        <v>380.01</v>
      </c>
      <c r="K67" s="47"/>
      <c r="L67" s="47">
        <f>SUM(L64:L66)</f>
        <v>1108.9100000000001</v>
      </c>
      <c r="M67" s="45"/>
      <c r="N67" s="48">
        <f>SUM(N64:N66)</f>
        <v>445</v>
      </c>
      <c r="O67" s="45"/>
      <c r="P67" s="48">
        <f>SUM(P64:P66)</f>
        <v>790.75</v>
      </c>
      <c r="Q67" s="45"/>
      <c r="R67" s="47">
        <f>SUM(R64:R66)</f>
        <v>0</v>
      </c>
      <c r="S67" s="45"/>
      <c r="T67" s="48">
        <f>SUM(T64:T66)</f>
        <v>0</v>
      </c>
      <c r="U67" s="47"/>
      <c r="V67" s="47"/>
      <c r="W67" s="45"/>
      <c r="X67" s="48">
        <f>SUM(X64:X66)</f>
        <v>260.61</v>
      </c>
      <c r="Y67" s="45"/>
      <c r="Z67" s="48">
        <f>SUM(Z64:Z66)</f>
        <v>1226.7099999999998</v>
      </c>
      <c r="AA67" s="45"/>
      <c r="AB67" s="48">
        <f>SUM(AB64:AB66)</f>
        <v>552</v>
      </c>
      <c r="AC67" s="45"/>
      <c r="AD67" s="48">
        <f>SUM(AD64:AD66)</f>
        <v>36.700000000000003</v>
      </c>
      <c r="AE67" s="45"/>
      <c r="AF67" s="48">
        <f>SUM(AF64:AF66)</f>
        <v>832.8599999999999</v>
      </c>
      <c r="AG67" s="45"/>
      <c r="AH67" s="48">
        <f>SUM(AH64:AH66)</f>
        <v>325.42</v>
      </c>
      <c r="AI67" s="45"/>
      <c r="AJ67" s="48">
        <f>SUM(AJ64:AJ66)</f>
        <v>934.7</v>
      </c>
      <c r="AK67" s="45"/>
      <c r="AL67" s="48">
        <f>SUM(AL64:AL66)</f>
        <v>308</v>
      </c>
      <c r="AM67" s="45"/>
      <c r="AN67" s="48">
        <f>SUM(AN64:AN66)</f>
        <v>0</v>
      </c>
      <c r="AO67" s="45"/>
      <c r="AP67" s="48">
        <f>SUM(AP64:AP66)</f>
        <v>271.98</v>
      </c>
      <c r="AQ67" s="45"/>
      <c r="AR67" s="48">
        <f>SUM(AR64:AR66)</f>
        <v>830.89</v>
      </c>
      <c r="AS67" s="45"/>
      <c r="AT67" s="48">
        <f>SUM(AT64:AT66)</f>
        <v>0</v>
      </c>
      <c r="AU67" s="45"/>
      <c r="AV67" s="48">
        <f>SUM(AV64:AV66)</f>
        <v>0</v>
      </c>
      <c r="AW67" s="45"/>
      <c r="AX67" s="48">
        <f>SUM(AX64:AX66)</f>
        <v>0</v>
      </c>
      <c r="AY67" s="82"/>
      <c r="AZ67" s="95">
        <f>SUM(AZ64:AZ66)</f>
        <v>10603.529999999999</v>
      </c>
      <c r="BA67" s="48">
        <f>SUM(BA64:BA66)</f>
        <v>10050.73933649289</v>
      </c>
    </row>
    <row r="68" spans="1:53" ht="15" customHeight="1" x14ac:dyDescent="0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83"/>
      <c r="N68" s="83"/>
      <c r="O68" s="147"/>
      <c r="P68" s="147"/>
      <c r="Q68" s="83"/>
      <c r="R68" s="83"/>
      <c r="S68" s="83"/>
      <c r="T68" s="83"/>
      <c r="U68" s="142" t="s">
        <v>181</v>
      </c>
      <c r="V68" s="142"/>
      <c r="W68" s="83"/>
      <c r="X68" s="83"/>
      <c r="Y68" s="32"/>
      <c r="Z68" s="32"/>
      <c r="AA68" s="32"/>
      <c r="AB68" s="32"/>
      <c r="AC68" s="32"/>
      <c r="AD68" s="32"/>
      <c r="AE68" s="32"/>
      <c r="AF68" s="32"/>
      <c r="AG68" s="66"/>
      <c r="AH68" s="66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1:53" x14ac:dyDescent="0.25">
      <c r="U69" s="144"/>
      <c r="V69" s="144"/>
    </row>
    <row r="70" spans="1:53" x14ac:dyDescent="0.25">
      <c r="U70" s="144"/>
      <c r="V70" s="144"/>
    </row>
  </sheetData>
  <mergeCells count="30">
    <mergeCell ref="BA1:BA2"/>
    <mergeCell ref="A62:B62"/>
    <mergeCell ref="A64:A67"/>
    <mergeCell ref="O68:P68"/>
    <mergeCell ref="U68:V70"/>
    <mergeCell ref="AQ1:AR1"/>
    <mergeCell ref="AS1:AT1"/>
    <mergeCell ref="AU1:AV1"/>
    <mergeCell ref="AW1:AX1"/>
    <mergeCell ref="AZ1:AZ2"/>
    <mergeCell ref="AG1:AH1"/>
    <mergeCell ref="AI1:AJ1"/>
    <mergeCell ref="AK1:AL1"/>
    <mergeCell ref="AM1:AN1"/>
    <mergeCell ref="AO1:AP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E1:F1"/>
    <mergeCell ref="G1:H1"/>
    <mergeCell ref="I1:J1"/>
    <mergeCell ref="K1:L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FF"/>
  </sheetPr>
  <dimension ref="A1:BA69"/>
  <sheetViews>
    <sheetView windowProtection="1" zoomScaleNormal="100" workbookViewId="0">
      <pane xSplit="2" ySplit="2" topLeftCell="G42" activePane="bottomRight" state="frozen"/>
      <selection pane="topRight" activeCell="G1" sqref="G1"/>
      <selection pane="bottomLeft" activeCell="A42" sqref="A42"/>
      <selection pane="bottomRight" activeCell="Q1" sqref="Q1"/>
    </sheetView>
  </sheetViews>
  <sheetFormatPr baseColWidth="10" defaultColWidth="9.140625" defaultRowHeight="15" x14ac:dyDescent="0.25"/>
  <cols>
    <col min="1" max="1" width="29"/>
    <col min="2" max="2" width="9.85546875"/>
    <col min="3" max="3" width="0" style="1" hidden="1"/>
    <col min="4" max="4" width="0" style="2" hidden="1"/>
    <col min="5" max="5" width="0" style="1" hidden="1"/>
    <col min="6" max="6" width="0" style="2" hidden="1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710937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182</v>
      </c>
      <c r="D1" s="136"/>
      <c r="E1" s="136" t="s">
        <v>183</v>
      </c>
      <c r="F1" s="136"/>
      <c r="G1" s="136" t="s">
        <v>184</v>
      </c>
      <c r="H1" s="136"/>
      <c r="I1" s="136" t="s">
        <v>185</v>
      </c>
      <c r="J1" s="136"/>
      <c r="K1" s="145" t="s">
        <v>186</v>
      </c>
      <c r="L1" s="145"/>
      <c r="M1" s="136" t="s">
        <v>187</v>
      </c>
      <c r="N1" s="136"/>
      <c r="O1" s="136" t="s">
        <v>188</v>
      </c>
      <c r="P1" s="136"/>
      <c r="Q1" s="136" t="s">
        <v>189</v>
      </c>
      <c r="R1" s="136"/>
      <c r="S1" s="136" t="s">
        <v>190</v>
      </c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SUM(D4:D31)</f>
        <v>198.20000000000002</v>
      </c>
      <c r="E3" s="14"/>
      <c r="F3" s="15">
        <f>SUM(F4:F31)</f>
        <v>548.17000000000007</v>
      </c>
      <c r="G3" s="14"/>
      <c r="H3" s="15">
        <f>SUM(H4:H31)</f>
        <v>140.05000000000001</v>
      </c>
      <c r="I3" s="14"/>
      <c r="J3" s="15">
        <f>SUM(J4:J31)</f>
        <v>855.93000000000006</v>
      </c>
      <c r="K3" s="70"/>
      <c r="L3" s="70">
        <f>SUM(L4:L31)</f>
        <v>211.83</v>
      </c>
      <c r="M3" s="14"/>
      <c r="N3" s="15">
        <f>SUM(N4:N31)</f>
        <v>174.04</v>
      </c>
      <c r="O3" s="14"/>
      <c r="P3" s="15">
        <f>SUM(P4:P31)</f>
        <v>591.43000000000018</v>
      </c>
      <c r="Q3" s="14"/>
      <c r="R3" s="15">
        <f>SUM(R4:R31)</f>
        <v>638.37</v>
      </c>
      <c r="S3" s="14"/>
      <c r="T3" s="15">
        <f>SUM(T4:T31)</f>
        <v>260.43</v>
      </c>
      <c r="U3" s="14"/>
      <c r="V3" s="15">
        <f>SUM(V4:V31)</f>
        <v>0</v>
      </c>
      <c r="W3" s="14"/>
      <c r="X3" s="15">
        <f>SUM(X4:X31)</f>
        <v>0</v>
      </c>
      <c r="Y3" s="14"/>
      <c r="Z3" s="15">
        <f>SUM(Z4:Z31)</f>
        <v>0</v>
      </c>
      <c r="AA3" s="14"/>
      <c r="AB3" s="15">
        <f>SUM(AB4:AB31)</f>
        <v>0</v>
      </c>
      <c r="AC3" s="14"/>
      <c r="AD3" s="15">
        <f>SUM(AD4:AD31)</f>
        <v>0</v>
      </c>
      <c r="AE3" s="14"/>
      <c r="AF3" s="15">
        <f>SUM(AF4:AF31)</f>
        <v>0</v>
      </c>
      <c r="AG3" s="14"/>
      <c r="AH3" s="15">
        <f>SUM(AH4:AH31)</f>
        <v>0</v>
      </c>
      <c r="AI3" s="14"/>
      <c r="AJ3" s="15">
        <f>SUM(AJ4:AJ31)</f>
        <v>0</v>
      </c>
      <c r="AK3" s="14"/>
      <c r="AL3" s="15">
        <f>SUM(AL4:AL31)</f>
        <v>0</v>
      </c>
      <c r="AM3" s="14"/>
      <c r="AN3" s="15">
        <f>SUM(AN4:AN31)</f>
        <v>0</v>
      </c>
      <c r="AO3" s="14"/>
      <c r="AP3" s="15">
        <f>SUM(AP4:AP31)</f>
        <v>0</v>
      </c>
      <c r="AQ3" s="14"/>
      <c r="AR3" s="15">
        <f>SUM(AR4:AR31)</f>
        <v>0</v>
      </c>
      <c r="AS3" s="14"/>
      <c r="AT3" s="15">
        <f>SUM(AT4:AT31)</f>
        <v>0</v>
      </c>
      <c r="AU3" s="14"/>
      <c r="AV3" s="15">
        <f>SUM(AV4:AV31)</f>
        <v>0</v>
      </c>
      <c r="AX3" s="84">
        <f t="shared" ref="AX3:AX34" si="0">SUM(AV3,AT3,AR3,AP3,AN3,AL3,AJ3,AH3,AF3,AD3,AB3,Z3,X3,V3,T3,R3,P3,N3,L3,J3,H3,F3,D3)</f>
        <v>3618.45</v>
      </c>
      <c r="AY3" s="15">
        <f t="shared" ref="AY3:AY34" si="1">AX3/1.055</f>
        <v>3429.8104265402844</v>
      </c>
    </row>
    <row r="4" spans="1:51" x14ac:dyDescent="0.25">
      <c r="A4" s="19" t="s">
        <v>25</v>
      </c>
      <c r="B4" s="20" t="s">
        <v>26</v>
      </c>
      <c r="C4" s="21">
        <v>11</v>
      </c>
      <c r="D4" s="2">
        <v>38.5</v>
      </c>
      <c r="E4" s="21">
        <f>3+2*1+4</f>
        <v>9</v>
      </c>
      <c r="F4" s="22">
        <f>10.5+7+13.2</f>
        <v>30.7</v>
      </c>
      <c r="G4" s="21">
        <v>8</v>
      </c>
      <c r="H4" s="22">
        <v>28</v>
      </c>
      <c r="I4" s="21">
        <f>17+2*6+3*5+4</f>
        <v>48</v>
      </c>
      <c r="J4" s="22">
        <f>59.5+42+50+13.2+10</f>
        <v>174.7</v>
      </c>
      <c r="K4" s="72">
        <v>10</v>
      </c>
      <c r="L4" s="73">
        <v>35</v>
      </c>
      <c r="M4" s="21"/>
      <c r="N4" s="22">
        <v>28</v>
      </c>
      <c r="O4" s="21">
        <f>4+2*3+4</f>
        <v>14</v>
      </c>
      <c r="P4" s="22">
        <f>14+21+13.2</f>
        <v>48.2</v>
      </c>
      <c r="Q4" s="21">
        <f>9+2*2+3*5</f>
        <v>28</v>
      </c>
      <c r="R4" s="22">
        <f>31.5+14+50</f>
        <v>95.5</v>
      </c>
      <c r="S4" s="21">
        <v>10</v>
      </c>
      <c r="T4" s="22">
        <v>35</v>
      </c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513.59999999999991</v>
      </c>
      <c r="AY4" s="22">
        <f t="shared" si="1"/>
        <v>486.82464454976298</v>
      </c>
    </row>
    <row r="5" spans="1:51" x14ac:dyDescent="0.25">
      <c r="A5" s="19" t="s">
        <v>27</v>
      </c>
      <c r="B5" s="20" t="s">
        <v>26</v>
      </c>
      <c r="C5" s="21">
        <v>11</v>
      </c>
      <c r="D5" s="22">
        <v>36.299999999999997</v>
      </c>
      <c r="E5" s="21">
        <f>22+2*8+3*11</f>
        <v>71</v>
      </c>
      <c r="F5" s="22">
        <f>72.6+52.8+104.5</f>
        <v>229.89999999999998</v>
      </c>
      <c r="G5" s="21">
        <v>7</v>
      </c>
      <c r="H5" s="22">
        <v>23.1</v>
      </c>
      <c r="I5" s="21">
        <f>20+8*2+3*4+1</f>
        <v>49</v>
      </c>
      <c r="J5" s="22">
        <f>66+52.8+38+3.1+10</f>
        <v>169.9</v>
      </c>
      <c r="K5" s="72">
        <v>13</v>
      </c>
      <c r="L5" s="73">
        <v>45</v>
      </c>
      <c r="M5" s="21"/>
      <c r="N5" s="22">
        <v>49.5</v>
      </c>
      <c r="O5" s="21">
        <f>17+2*7+3*6+6</f>
        <v>55</v>
      </c>
      <c r="P5" s="22">
        <f>56.1+46.2+57+18.6</f>
        <v>177.9</v>
      </c>
      <c r="Q5" s="21">
        <f>15+2*7+3*6</f>
        <v>47</v>
      </c>
      <c r="R5" s="22">
        <f>49.5+46.2+57</f>
        <v>152.69999999999999</v>
      </c>
      <c r="S5" s="21">
        <v>20</v>
      </c>
      <c r="T5" s="22">
        <v>52.8</v>
      </c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937.09999999999991</v>
      </c>
      <c r="AY5" s="22">
        <f t="shared" si="1"/>
        <v>888.24644549763025</v>
      </c>
    </row>
    <row r="6" spans="1:51" x14ac:dyDescent="0.25">
      <c r="A6" s="19" t="s">
        <v>28</v>
      </c>
      <c r="B6" s="20" t="s">
        <v>26</v>
      </c>
      <c r="C6" s="21"/>
      <c r="D6" s="22"/>
      <c r="E6" s="21"/>
      <c r="F6" s="22"/>
      <c r="G6" s="21"/>
      <c r="H6" s="22"/>
      <c r="I6" s="21">
        <v>5</v>
      </c>
      <c r="J6" s="22">
        <v>10</v>
      </c>
      <c r="K6" s="72"/>
      <c r="L6" s="73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4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10</v>
      </c>
      <c r="AY6" s="22">
        <f t="shared" si="1"/>
        <v>9.4786729857819907</v>
      </c>
    </row>
    <row r="7" spans="1:51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85"/>
      <c r="L7" s="73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0</v>
      </c>
      <c r="AY7" s="22">
        <f t="shared" si="1"/>
        <v>0</v>
      </c>
    </row>
    <row r="8" spans="1:51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104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31</v>
      </c>
      <c r="B10" s="20" t="s">
        <v>26</v>
      </c>
      <c r="C10" s="21">
        <v>4</v>
      </c>
      <c r="D10" s="22">
        <v>14</v>
      </c>
      <c r="E10" s="21">
        <v>10</v>
      </c>
      <c r="F10" s="22">
        <v>35</v>
      </c>
      <c r="G10" s="21"/>
      <c r="H10" s="22"/>
      <c r="I10" s="21">
        <v>6</v>
      </c>
      <c r="J10" s="22">
        <v>21</v>
      </c>
      <c r="K10" s="72">
        <v>5</v>
      </c>
      <c r="L10" s="73">
        <v>17.5</v>
      </c>
      <c r="M10" s="21"/>
      <c r="N10" s="22"/>
      <c r="O10" s="21">
        <v>5</v>
      </c>
      <c r="P10" s="22">
        <f>17.5+6</f>
        <v>23.5</v>
      </c>
      <c r="Q10" s="21">
        <v>7</v>
      </c>
      <c r="R10" s="22">
        <v>24.5</v>
      </c>
      <c r="S10" s="21">
        <v>4</v>
      </c>
      <c r="T10" s="22">
        <v>15</v>
      </c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150.5</v>
      </c>
      <c r="AY10" s="22">
        <f t="shared" si="1"/>
        <v>142.65402843601896</v>
      </c>
    </row>
    <row r="11" spans="1:51" x14ac:dyDescent="0.25">
      <c r="A11" s="19" t="s">
        <v>103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85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0</v>
      </c>
      <c r="AY11" s="22">
        <f t="shared" si="1"/>
        <v>0</v>
      </c>
    </row>
    <row r="12" spans="1:51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5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0</v>
      </c>
      <c r="AY12" s="22">
        <f t="shared" si="1"/>
        <v>0</v>
      </c>
    </row>
    <row r="13" spans="1:51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5"/>
      <c r="R13" s="22"/>
      <c r="S13" s="21"/>
      <c r="T13" s="22"/>
      <c r="U13" s="25"/>
      <c r="V13" s="22"/>
      <c r="W13" s="21"/>
      <c r="X13" s="22"/>
      <c r="Y13" s="21"/>
      <c r="Z13" s="22"/>
      <c r="AA13" s="25"/>
      <c r="AB13" s="22"/>
      <c r="AC13" s="21"/>
      <c r="AD13" s="22"/>
      <c r="AE13" s="21"/>
      <c r="AF13" s="22"/>
      <c r="AG13" s="25"/>
      <c r="AH13" s="22"/>
      <c r="AI13" s="21"/>
      <c r="AJ13" s="22"/>
      <c r="AK13" s="25"/>
      <c r="AL13" s="22"/>
      <c r="AM13" s="21"/>
      <c r="AN13" s="22"/>
      <c r="AO13" s="25"/>
      <c r="AP13" s="22"/>
      <c r="AQ13" s="21"/>
      <c r="AR13" s="22"/>
      <c r="AS13" s="21"/>
      <c r="AT13" s="22"/>
      <c r="AU13" s="25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85"/>
      <c r="L14" s="73"/>
      <c r="M14" s="21"/>
      <c r="N14" s="22"/>
      <c r="O14" s="21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33</v>
      </c>
      <c r="B15" s="20" t="s">
        <v>34</v>
      </c>
      <c r="C15" s="25"/>
      <c r="D15" s="22">
        <v>22</v>
      </c>
      <c r="E15" s="25"/>
      <c r="F15" s="22"/>
      <c r="G15" s="25"/>
      <c r="H15" s="22">
        <v>12.56</v>
      </c>
      <c r="I15" s="25">
        <v>3.03</v>
      </c>
      <c r="J15" s="22">
        <v>11.81</v>
      </c>
      <c r="K15" s="85"/>
      <c r="L15" s="73">
        <v>40</v>
      </c>
      <c r="M15" s="25"/>
      <c r="N15" s="22">
        <f>18.64+7</f>
        <v>25.64</v>
      </c>
      <c r="O15" s="25"/>
      <c r="P15" s="22"/>
      <c r="Q15" s="25">
        <v>19.72</v>
      </c>
      <c r="R15" s="22">
        <v>76.900000000000006</v>
      </c>
      <c r="S15" s="25"/>
      <c r="T15" s="22">
        <v>50</v>
      </c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5"/>
      <c r="AN15" s="22"/>
      <c r="AO15" s="25"/>
      <c r="AP15" s="22"/>
      <c r="AQ15" s="25"/>
      <c r="AR15" s="22"/>
      <c r="AS15" s="25"/>
      <c r="AT15" s="22"/>
      <c r="AU15" s="25"/>
      <c r="AV15" s="22"/>
      <c r="AW15"/>
      <c r="AX15" s="74">
        <f t="shared" si="0"/>
        <v>238.91000000000003</v>
      </c>
      <c r="AY15" s="22">
        <f t="shared" si="1"/>
        <v>226.45497630331758</v>
      </c>
    </row>
    <row r="16" spans="1:51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1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>
        <v>1.2</v>
      </c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1.2</v>
      </c>
      <c r="AY17" s="22">
        <f t="shared" si="1"/>
        <v>1.1374407582938388</v>
      </c>
    </row>
    <row r="18" spans="1:51" x14ac:dyDescent="0.25">
      <c r="A18" s="19" t="s">
        <v>37</v>
      </c>
      <c r="B18" s="20" t="s">
        <v>34</v>
      </c>
      <c r="C18" s="25"/>
      <c r="D18" s="22"/>
      <c r="E18" s="25">
        <v>5.6349999999999998</v>
      </c>
      <c r="F18" s="22">
        <v>21.99</v>
      </c>
      <c r="G18" s="25"/>
      <c r="H18" s="22"/>
      <c r="I18" s="25"/>
      <c r="J18" s="22"/>
      <c r="K18" s="85"/>
      <c r="L18" s="73"/>
      <c r="M18" s="25"/>
      <c r="N18" s="22"/>
      <c r="O18" s="25">
        <v>8.4849999999999994</v>
      </c>
      <c r="P18" s="22">
        <f>33.09+10</f>
        <v>43.09</v>
      </c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65.08</v>
      </c>
      <c r="AY18" s="22">
        <f t="shared" si="1"/>
        <v>61.687203791469194</v>
      </c>
    </row>
    <row r="19" spans="1:51" x14ac:dyDescent="0.25">
      <c r="A19" s="19" t="s">
        <v>38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0</v>
      </c>
      <c r="AY19" s="22">
        <f t="shared" si="1"/>
        <v>0</v>
      </c>
    </row>
    <row r="20" spans="1:51" x14ac:dyDescent="0.25">
      <c r="A20" s="19" t="s">
        <v>39</v>
      </c>
      <c r="B20" s="20" t="s">
        <v>34</v>
      </c>
      <c r="C20"/>
      <c r="D20" s="22"/>
      <c r="E20"/>
      <c r="F20" s="22"/>
      <c r="G20"/>
      <c r="H20" s="22"/>
      <c r="I20"/>
      <c r="J20" s="22"/>
      <c r="K20" s="85"/>
      <c r="L20" s="22"/>
      <c r="M20"/>
      <c r="N20" s="22"/>
      <c r="O20"/>
      <c r="P20" s="22"/>
      <c r="Q20"/>
      <c r="R20" s="22"/>
      <c r="S20"/>
      <c r="T20" s="22"/>
      <c r="U20"/>
      <c r="V20" s="22"/>
      <c r="W20"/>
      <c r="X20" s="22"/>
      <c r="Y20"/>
      <c r="Z20" s="22"/>
      <c r="AA20"/>
      <c r="AB20" s="22"/>
      <c r="AC20"/>
      <c r="AD20" s="22"/>
      <c r="AE20"/>
      <c r="AF20" s="22"/>
      <c r="AG20"/>
      <c r="AH20" s="22"/>
      <c r="AI20"/>
      <c r="AJ20" s="22"/>
      <c r="AK20"/>
      <c r="AL20" s="22"/>
      <c r="AM20"/>
      <c r="AN20" s="22"/>
      <c r="AO20"/>
      <c r="AP20" s="22"/>
      <c r="AQ20"/>
      <c r="AR20" s="22"/>
      <c r="AS20"/>
      <c r="AT20" s="22"/>
      <c r="AU20"/>
      <c r="AV20" s="22"/>
      <c r="AW20"/>
      <c r="AX20" s="74">
        <f t="shared" si="0"/>
        <v>0</v>
      </c>
      <c r="AY20" s="22">
        <f t="shared" si="1"/>
        <v>0</v>
      </c>
    </row>
    <row r="21" spans="1:51" x14ac:dyDescent="0.25">
      <c r="A21" s="19" t="s">
        <v>40</v>
      </c>
      <c r="B21" s="20" t="s">
        <v>34</v>
      </c>
      <c r="C21" s="25"/>
      <c r="D21" s="22">
        <v>56.5</v>
      </c>
      <c r="E21" s="25">
        <v>21.5</v>
      </c>
      <c r="F21" s="22">
        <v>96.79</v>
      </c>
      <c r="G21" s="25"/>
      <c r="H21" s="22">
        <v>37.36</v>
      </c>
      <c r="I21" s="25">
        <v>37</v>
      </c>
      <c r="J21" s="22">
        <f>166.59+20</f>
        <v>186.59</v>
      </c>
      <c r="K21" s="85"/>
      <c r="L21" s="73">
        <v>37</v>
      </c>
      <c r="M21" s="25"/>
      <c r="N21" s="22">
        <v>18.22</v>
      </c>
      <c r="O21" s="25">
        <f>28.905+1.665</f>
        <v>30.57</v>
      </c>
      <c r="P21" s="22">
        <f>143.1+7.5+10</f>
        <v>160.6</v>
      </c>
      <c r="Q21" s="25">
        <v>21.715</v>
      </c>
      <c r="R21" s="22">
        <f>97.8+16</f>
        <v>113.8</v>
      </c>
      <c r="S21" s="25"/>
      <c r="T21" s="22">
        <v>35</v>
      </c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25"/>
      <c r="AP21" s="22"/>
      <c r="AQ21" s="25"/>
      <c r="AR21" s="22"/>
      <c r="AS21" s="25"/>
      <c r="AT21" s="22"/>
      <c r="AU21" s="25"/>
      <c r="AV21" s="22"/>
      <c r="AW21"/>
      <c r="AX21" s="74">
        <f t="shared" si="0"/>
        <v>741.86</v>
      </c>
      <c r="AY21" s="22">
        <f t="shared" si="1"/>
        <v>703.1848341232228</v>
      </c>
    </row>
    <row r="22" spans="1:51" x14ac:dyDescent="0.25">
      <c r="A22" s="19" t="s">
        <v>30</v>
      </c>
      <c r="B22" s="20" t="s">
        <v>26</v>
      </c>
      <c r="C22" s="21"/>
      <c r="D22" s="22"/>
      <c r="E22" s="21">
        <v>4</v>
      </c>
      <c r="F22" s="22">
        <v>11.6</v>
      </c>
      <c r="G22" s="21"/>
      <c r="H22" s="22"/>
      <c r="I22" s="21">
        <v>2</v>
      </c>
      <c r="J22" s="22">
        <v>5.8</v>
      </c>
      <c r="K22" s="72">
        <v>1</v>
      </c>
      <c r="L22" s="73">
        <v>2.9</v>
      </c>
      <c r="M22" s="21"/>
      <c r="N22" s="22"/>
      <c r="O22" s="21">
        <v>1</v>
      </c>
      <c r="P22" s="22">
        <v>2.9</v>
      </c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2"/>
      <c r="AO22" s="21"/>
      <c r="AP22" s="22"/>
      <c r="AQ22" s="21"/>
      <c r="AR22" s="22"/>
      <c r="AS22" s="21"/>
      <c r="AT22" s="22"/>
      <c r="AU22" s="21"/>
      <c r="AV22" s="22"/>
      <c r="AW22"/>
      <c r="AX22" s="74">
        <f t="shared" si="0"/>
        <v>23.2</v>
      </c>
      <c r="AY22" s="22">
        <f t="shared" si="1"/>
        <v>21.990521327014218</v>
      </c>
    </row>
    <row r="23" spans="1:51" x14ac:dyDescent="0.25">
      <c r="A23" s="19" t="s">
        <v>105</v>
      </c>
      <c r="B23" s="20" t="s">
        <v>26</v>
      </c>
      <c r="C23" s="21"/>
      <c r="D23" s="22"/>
      <c r="E23" s="21"/>
      <c r="F23" s="22"/>
      <c r="G23" s="21"/>
      <c r="H23" s="22"/>
      <c r="I23" s="21"/>
      <c r="J23" s="22"/>
      <c r="K23" s="85"/>
      <c r="L23" s="73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0</v>
      </c>
      <c r="AY23" s="22">
        <f t="shared" si="1"/>
        <v>0</v>
      </c>
    </row>
    <row r="24" spans="1:51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85"/>
      <c r="L24" s="73"/>
      <c r="M24" s="25"/>
      <c r="N24" s="22"/>
      <c r="O24" s="25"/>
      <c r="P24" s="22"/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U24" s="25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42</v>
      </c>
      <c r="B25" s="20" t="s">
        <v>34</v>
      </c>
      <c r="C25" s="25"/>
      <c r="D25" s="22">
        <v>9.4</v>
      </c>
      <c r="E25" s="25">
        <v>20.484999999999999</v>
      </c>
      <c r="F25" s="22">
        <f>59.43+10</f>
        <v>69.430000000000007</v>
      </c>
      <c r="G25" s="25"/>
      <c r="H25" s="22">
        <f>21.22+5</f>
        <v>26.22</v>
      </c>
      <c r="I25" s="25">
        <v>42.65</v>
      </c>
      <c r="J25" s="22">
        <f>123.72+20</f>
        <v>143.72</v>
      </c>
      <c r="K25" s="85"/>
      <c r="L25" s="73">
        <v>22</v>
      </c>
      <c r="M25" s="25"/>
      <c r="N25" s="22">
        <v>23.27</v>
      </c>
      <c r="O25" s="25">
        <v>32.39</v>
      </c>
      <c r="P25" s="22">
        <f>93.98+10</f>
        <v>103.98</v>
      </c>
      <c r="Q25" s="25">
        <v>22.44</v>
      </c>
      <c r="R25" s="22">
        <v>65.09</v>
      </c>
      <c r="S25" s="25"/>
      <c r="T25" s="22">
        <v>20</v>
      </c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483.10999999999996</v>
      </c>
      <c r="AY25" s="22">
        <f t="shared" si="1"/>
        <v>457.92417061611371</v>
      </c>
    </row>
    <row r="26" spans="1:51" x14ac:dyDescent="0.25">
      <c r="A26" s="19" t="s">
        <v>43</v>
      </c>
      <c r="B26" s="20" t="s">
        <v>34</v>
      </c>
      <c r="C26" s="25"/>
      <c r="D26" s="22">
        <v>20</v>
      </c>
      <c r="E26" s="25">
        <v>17.155000000000001</v>
      </c>
      <c r="F26" s="22">
        <f>49.76+3</f>
        <v>52.76</v>
      </c>
      <c r="G26" s="25"/>
      <c r="H26" s="22">
        <v>12.81</v>
      </c>
      <c r="I26" s="25">
        <v>24.594999999999999</v>
      </c>
      <c r="J26" s="22">
        <f>71.35+20</f>
        <v>91.35</v>
      </c>
      <c r="K26" s="85"/>
      <c r="L26" s="73">
        <v>9.2100000000000009</v>
      </c>
      <c r="M26" s="25"/>
      <c r="N26" s="22">
        <v>29.41</v>
      </c>
      <c r="O26" s="25">
        <v>0.84</v>
      </c>
      <c r="P26" s="22">
        <v>2.44</v>
      </c>
      <c r="Q26" s="25">
        <v>37.9</v>
      </c>
      <c r="R26" s="22">
        <v>109.88</v>
      </c>
      <c r="S26" s="25"/>
      <c r="T26" s="22">
        <v>45</v>
      </c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372.85999999999996</v>
      </c>
      <c r="AY26" s="22">
        <f t="shared" si="1"/>
        <v>353.42180094786727</v>
      </c>
    </row>
    <row r="27" spans="1:5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179</v>
      </c>
      <c r="B28" s="20" t="s">
        <v>34</v>
      </c>
      <c r="C28" s="25"/>
      <c r="D28" s="22"/>
      <c r="E28" s="25"/>
      <c r="F28" s="22"/>
      <c r="G28" s="25"/>
      <c r="H28" s="22"/>
      <c r="I28" s="25">
        <v>2.665</v>
      </c>
      <c r="J28" s="22">
        <f>21.06+10+10</f>
        <v>41.06</v>
      </c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41.06</v>
      </c>
      <c r="AY28" s="22">
        <f t="shared" si="1"/>
        <v>38.919431279620859</v>
      </c>
    </row>
    <row r="29" spans="1:51" x14ac:dyDescent="0.25">
      <c r="A29" s="19" t="s">
        <v>180</v>
      </c>
      <c r="B29" s="20" t="s">
        <v>34</v>
      </c>
      <c r="C29" s="25"/>
      <c r="D29" s="22">
        <v>1.5</v>
      </c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>
        <v>3.31</v>
      </c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4.8100000000000005</v>
      </c>
      <c r="AY29" s="22">
        <f t="shared" si="1"/>
        <v>4.5592417061611386</v>
      </c>
    </row>
    <row r="30" spans="1:51" x14ac:dyDescent="0.25">
      <c r="A30" s="19" t="s">
        <v>191</v>
      </c>
      <c r="B30" s="20" t="s">
        <v>34</v>
      </c>
      <c r="C30" s="25"/>
      <c r="D30" s="22"/>
      <c r="E30" s="25"/>
      <c r="F30" s="22"/>
      <c r="G30" s="25"/>
      <c r="H30" s="22"/>
      <c r="I30" s="25"/>
      <c r="J30" s="22"/>
      <c r="K30" s="85"/>
      <c r="L30" s="73">
        <v>3.22</v>
      </c>
      <c r="M30" s="25"/>
      <c r="N30" s="22"/>
      <c r="O30" s="25"/>
      <c r="P30" s="22"/>
      <c r="Q30" s="25"/>
      <c r="R30" s="22"/>
      <c r="S30" s="25"/>
      <c r="T30" s="22">
        <v>3.12</v>
      </c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6.34</v>
      </c>
      <c r="AY30" s="22">
        <f t="shared" si="1"/>
        <v>6.0094786729857823</v>
      </c>
    </row>
    <row r="31" spans="1:51" x14ac:dyDescent="0.25">
      <c r="A31" s="19" t="s">
        <v>132</v>
      </c>
      <c r="B31" s="20" t="s">
        <v>34</v>
      </c>
      <c r="C31" s="25"/>
      <c r="D31" s="22"/>
      <c r="E31" s="25"/>
      <c r="F31" s="22"/>
      <c r="G31" s="25"/>
      <c r="H31" s="22"/>
      <c r="I31" s="25"/>
      <c r="J31" s="22"/>
      <c r="K31" s="85"/>
      <c r="L31" s="73"/>
      <c r="M31" s="25"/>
      <c r="N31" s="22"/>
      <c r="O31" s="25">
        <v>2.9550000000000001</v>
      </c>
      <c r="P31" s="22">
        <f>23.82+5</f>
        <v>28.82</v>
      </c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28.82</v>
      </c>
      <c r="AY31" s="22">
        <f t="shared" si="1"/>
        <v>27.317535545023699</v>
      </c>
    </row>
    <row r="32" spans="1:51" s="18" customFormat="1" x14ac:dyDescent="0.25">
      <c r="A32" s="12" t="s">
        <v>46</v>
      </c>
      <c r="B32" s="13"/>
      <c r="C32" s="14"/>
      <c r="D32" s="15">
        <f>SUM(D33:D48)</f>
        <v>79.72</v>
      </c>
      <c r="E32" s="14"/>
      <c r="F32" s="15">
        <f>SUM(F33:F48)</f>
        <v>0</v>
      </c>
      <c r="G32" s="14"/>
      <c r="H32" s="15">
        <f>SUM(H33:H48)</f>
        <v>41.589999999999996</v>
      </c>
      <c r="I32" s="14"/>
      <c r="J32" s="15">
        <f>SUM(J33:J48)</f>
        <v>0</v>
      </c>
      <c r="K32" s="70"/>
      <c r="L32" s="70">
        <f>SUM(L33:L48)</f>
        <v>86.550000000000011</v>
      </c>
      <c r="M32" s="14"/>
      <c r="N32" s="15">
        <f>SUM(N33:N48)</f>
        <v>32.199999999999996</v>
      </c>
      <c r="O32" s="14"/>
      <c r="P32" s="15">
        <f>SUM(P33:P48)</f>
        <v>0</v>
      </c>
      <c r="Q32" s="14"/>
      <c r="R32" s="15">
        <f>SUM(R33:R48)</f>
        <v>0</v>
      </c>
      <c r="S32" s="14"/>
      <c r="T32" s="15">
        <f>SUM(T33:T48)</f>
        <v>58.83</v>
      </c>
      <c r="U32" s="14"/>
      <c r="V32" s="15">
        <f>SUM(V33:V48)</f>
        <v>0</v>
      </c>
      <c r="W32" s="14"/>
      <c r="X32" s="15">
        <f>SUM(X33:X48)</f>
        <v>0</v>
      </c>
      <c r="Y32" s="14"/>
      <c r="Z32" s="15">
        <f>SUM(Z33:Z48)</f>
        <v>0</v>
      </c>
      <c r="AA32" s="14"/>
      <c r="AB32" s="15">
        <f>SUM(AB33:AB48)</f>
        <v>0</v>
      </c>
      <c r="AC32" s="14"/>
      <c r="AD32" s="15">
        <f>SUM(AD33:AD48)</f>
        <v>0</v>
      </c>
      <c r="AE32" s="14"/>
      <c r="AF32" s="15">
        <f>SUM(AF33:AF48)</f>
        <v>0</v>
      </c>
      <c r="AG32" s="14"/>
      <c r="AH32" s="15">
        <f>SUM(AH33:AH48)</f>
        <v>0</v>
      </c>
      <c r="AI32" s="14"/>
      <c r="AJ32" s="15">
        <f>SUM(AJ33:AJ48)</f>
        <v>0</v>
      </c>
      <c r="AK32" s="14"/>
      <c r="AL32" s="15">
        <f>SUM(AL33:AL48)</f>
        <v>0</v>
      </c>
      <c r="AM32" s="14"/>
      <c r="AN32" s="15">
        <f>SUM(AN33:AN48)</f>
        <v>0</v>
      </c>
      <c r="AO32" s="14"/>
      <c r="AP32" s="15">
        <f>SUM(AP33:AP48)</f>
        <v>0</v>
      </c>
      <c r="AQ32" s="14"/>
      <c r="AR32" s="15">
        <f>SUM(AR33:AR48)</f>
        <v>0</v>
      </c>
      <c r="AS32" s="14"/>
      <c r="AT32" s="15">
        <f>SUM(AT33:AT48)</f>
        <v>0</v>
      </c>
      <c r="AU32" s="14"/>
      <c r="AV32" s="15">
        <f>SUM(AV33:AV48)</f>
        <v>0</v>
      </c>
      <c r="AX32" s="71">
        <f t="shared" si="0"/>
        <v>298.89</v>
      </c>
      <c r="AY32" s="15">
        <f t="shared" si="1"/>
        <v>283.30805687203792</v>
      </c>
    </row>
    <row r="33" spans="1:51" x14ac:dyDescent="0.25">
      <c r="A33" s="19" t="s">
        <v>47</v>
      </c>
      <c r="B33" s="20" t="s">
        <v>34</v>
      </c>
      <c r="C33" s="25"/>
      <c r="D33" s="22"/>
      <c r="E33" s="25"/>
      <c r="F33" s="22"/>
      <c r="G33" s="25"/>
      <c r="H33" s="22">
        <f>13.65+5</f>
        <v>18.649999999999999</v>
      </c>
      <c r="I33" s="25"/>
      <c r="J33" s="22"/>
      <c r="K33" s="25"/>
      <c r="L33" s="73">
        <v>8.73</v>
      </c>
      <c r="M33" s="25"/>
      <c r="N33" s="22">
        <v>1.46</v>
      </c>
      <c r="O33" s="25"/>
      <c r="P33" s="22"/>
      <c r="Q33" s="25"/>
      <c r="R33" s="22"/>
      <c r="S33" s="21"/>
      <c r="T33" s="22">
        <v>2.98</v>
      </c>
      <c r="U33" s="25"/>
      <c r="V33" s="22"/>
      <c r="W33" s="25"/>
      <c r="X33" s="22"/>
      <c r="Y33" s="25"/>
      <c r="Z33" s="22"/>
      <c r="AA33" s="21"/>
      <c r="AB33" s="22"/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5"/>
      <c r="AN33" s="22"/>
      <c r="AO33" s="25"/>
      <c r="AP33" s="22"/>
      <c r="AQ33" s="25"/>
      <c r="AR33" s="22"/>
      <c r="AS33" s="25"/>
      <c r="AT33" s="22"/>
      <c r="AU33" s="25"/>
      <c r="AV33" s="22"/>
      <c r="AW33"/>
      <c r="AX33" s="74">
        <f t="shared" si="0"/>
        <v>31.82</v>
      </c>
      <c r="AY33" s="22">
        <f t="shared" si="1"/>
        <v>30.161137440758296</v>
      </c>
    </row>
    <row r="34" spans="1:51" x14ac:dyDescent="0.25">
      <c r="A34" s="19" t="s">
        <v>48</v>
      </c>
      <c r="B34" s="20" t="s">
        <v>34</v>
      </c>
      <c r="C34" s="25"/>
      <c r="D34" s="22">
        <v>11.07</v>
      </c>
      <c r="E34" s="25"/>
      <c r="F34" s="22"/>
      <c r="G34" s="25"/>
      <c r="H34" s="22">
        <f>7.93+3</f>
        <v>10.93</v>
      </c>
      <c r="I34" s="25"/>
      <c r="J34" s="22"/>
      <c r="K34" s="25"/>
      <c r="L34" s="73">
        <v>26</v>
      </c>
      <c r="M34" s="25"/>
      <c r="N34" s="22">
        <v>17.399999999999999</v>
      </c>
      <c r="O34" s="25"/>
      <c r="P34" s="22"/>
      <c r="Q34" s="25"/>
      <c r="R34" s="22"/>
      <c r="S34" s="21"/>
      <c r="T34" s="22">
        <v>15.23</v>
      </c>
      <c r="U34" s="25"/>
      <c r="V34" s="22"/>
      <c r="W34" s="25"/>
      <c r="X34" s="22"/>
      <c r="Y34" s="25"/>
      <c r="Z34" s="22"/>
      <c r="AA34" s="21"/>
      <c r="AB34" s="22"/>
      <c r="AC34" s="25"/>
      <c r="AD34" s="22"/>
      <c r="AE34" s="25"/>
      <c r="AF34" s="22"/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si="0"/>
        <v>80.63</v>
      </c>
      <c r="AY34" s="22">
        <f t="shared" si="1"/>
        <v>76.426540284360186</v>
      </c>
    </row>
    <row r="35" spans="1:51" x14ac:dyDescent="0.25">
      <c r="A35" s="19" t="s">
        <v>49</v>
      </c>
      <c r="B35" s="20" t="s">
        <v>34</v>
      </c>
      <c r="C35" s="25"/>
      <c r="D35" s="22">
        <v>15</v>
      </c>
      <c r="E35" s="25"/>
      <c r="F35" s="22"/>
      <c r="G35" s="25"/>
      <c r="H35" s="22">
        <f>3.04+3</f>
        <v>6.04</v>
      </c>
      <c r="I35" s="25"/>
      <c r="J35" s="22"/>
      <c r="K35" s="25"/>
      <c r="L35" s="73">
        <v>16.82</v>
      </c>
      <c r="M35" s="25"/>
      <c r="N35" s="22">
        <v>2.56</v>
      </c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ref="AX35:AX63" si="2">SUM(AV35,AT35,AR35,AP35,AN35,AL35,AJ35,AH35,AF35,AD35,AB35,Z35,X35,V35,T35,R35,P35,N35,L35,J35,H35,F35,D35)</f>
        <v>40.42</v>
      </c>
      <c r="AY35" s="22">
        <f t="shared" ref="AY35:AY63" si="3">AX35/1.055</f>
        <v>38.312796208530813</v>
      </c>
    </row>
    <row r="36" spans="1:51" x14ac:dyDescent="0.25">
      <c r="A36" s="19" t="s">
        <v>50</v>
      </c>
      <c r="B36" s="20" t="s">
        <v>34</v>
      </c>
      <c r="C36" s="25"/>
      <c r="D36" s="22">
        <v>50</v>
      </c>
      <c r="E36" s="25"/>
      <c r="F36" s="22"/>
      <c r="G36" s="25"/>
      <c r="H36" s="22">
        <v>4.97</v>
      </c>
      <c r="I36" s="25"/>
      <c r="J36" s="22"/>
      <c r="K36" s="25"/>
      <c r="L36" s="73">
        <v>35</v>
      </c>
      <c r="M36" s="25"/>
      <c r="N36" s="22">
        <v>7.16</v>
      </c>
      <c r="O36" s="25"/>
      <c r="P36" s="22"/>
      <c r="Q36" s="25"/>
      <c r="R36" s="22"/>
      <c r="S36" s="21"/>
      <c r="T36" s="22">
        <v>35</v>
      </c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132.13</v>
      </c>
      <c r="AY36" s="22">
        <f t="shared" si="3"/>
        <v>125.24170616113744</v>
      </c>
    </row>
    <row r="37" spans="1:51" x14ac:dyDescent="0.25">
      <c r="A37" s="19" t="s">
        <v>51</v>
      </c>
      <c r="B37" s="20" t="s">
        <v>34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1" x14ac:dyDescent="0.25">
      <c r="A38" s="19" t="s">
        <v>133</v>
      </c>
      <c r="B38" s="20" t="s">
        <v>53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1" x14ac:dyDescent="0.25">
      <c r="A39" s="19" t="s">
        <v>54</v>
      </c>
      <c r="B39" s="20" t="s">
        <v>55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0</v>
      </c>
      <c r="AY39" s="22">
        <f t="shared" si="3"/>
        <v>0</v>
      </c>
    </row>
    <row r="40" spans="1:51" x14ac:dyDescent="0.25">
      <c r="A40" s="19" t="s">
        <v>56</v>
      </c>
      <c r="B40" s="20" t="s">
        <v>34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0</v>
      </c>
      <c r="AY40" s="22">
        <f t="shared" si="3"/>
        <v>0</v>
      </c>
    </row>
    <row r="41" spans="1:51" x14ac:dyDescent="0.25">
      <c r="A41" s="19" t="s">
        <v>57</v>
      </c>
      <c r="B41" s="20" t="s">
        <v>53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1" x14ac:dyDescent="0.25">
      <c r="A42" s="19" t="s">
        <v>58</v>
      </c>
      <c r="B42" s="20" t="s">
        <v>34</v>
      </c>
      <c r="C42" s="25"/>
      <c r="D42" s="22">
        <v>3.65</v>
      </c>
      <c r="E42" s="25"/>
      <c r="F42" s="22"/>
      <c r="G42" s="25"/>
      <c r="H42" s="22">
        <v>1</v>
      </c>
      <c r="I42" s="25"/>
      <c r="J42" s="22"/>
      <c r="K42" s="25"/>
      <c r="L42" s="73"/>
      <c r="M42" s="25"/>
      <c r="N42" s="22">
        <v>3.62</v>
      </c>
      <c r="O42" s="25"/>
      <c r="P42" s="22"/>
      <c r="Q42" s="25"/>
      <c r="R42" s="22"/>
      <c r="S42" s="21"/>
      <c r="T42" s="22">
        <v>0.32</v>
      </c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8.59</v>
      </c>
      <c r="AY42" s="22">
        <f t="shared" si="3"/>
        <v>8.1421800947867293</v>
      </c>
    </row>
    <row r="43" spans="1:51" x14ac:dyDescent="0.25">
      <c r="A43" s="19" t="s">
        <v>110</v>
      </c>
      <c r="B43" s="20" t="s">
        <v>34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1" x14ac:dyDescent="0.25">
      <c r="A44" s="19" t="s">
        <v>111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1" x14ac:dyDescent="0.25">
      <c r="A45" s="19" t="s">
        <v>112</v>
      </c>
      <c r="B45" s="20" t="s">
        <v>34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1" x14ac:dyDescent="0.25">
      <c r="A46" s="19" t="s">
        <v>113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0</v>
      </c>
      <c r="AY46" s="22">
        <f t="shared" si="3"/>
        <v>0</v>
      </c>
    </row>
    <row r="47" spans="1:51" x14ac:dyDescent="0.25">
      <c r="A47" s="19" t="s">
        <v>134</v>
      </c>
      <c r="B47" s="20" t="s">
        <v>34</v>
      </c>
      <c r="C47" s="25"/>
      <c r="D47" s="22"/>
      <c r="E47" s="25"/>
      <c r="F47" s="22"/>
      <c r="G47" s="25"/>
      <c r="H47" s="22"/>
      <c r="I47" s="25"/>
      <c r="J47" s="22"/>
      <c r="K47" s="25"/>
      <c r="L47" s="73"/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0</v>
      </c>
      <c r="AY47" s="22">
        <f t="shared" si="3"/>
        <v>0</v>
      </c>
    </row>
    <row r="48" spans="1:51" x14ac:dyDescent="0.25">
      <c r="A48" s="19" t="s">
        <v>59</v>
      </c>
      <c r="B48" s="20"/>
      <c r="C48" s="25"/>
      <c r="D48" s="22"/>
      <c r="E48" s="25"/>
      <c r="F48" s="22"/>
      <c r="G48" s="25"/>
      <c r="H48" s="22"/>
      <c r="I48" s="25"/>
      <c r="J48" s="22"/>
      <c r="K48" s="25"/>
      <c r="L48" s="73"/>
      <c r="M48" s="25"/>
      <c r="N48" s="22"/>
      <c r="O48" s="25"/>
      <c r="P48" s="22"/>
      <c r="Q48" s="25"/>
      <c r="R48" s="22"/>
      <c r="S48" s="21"/>
      <c r="T48" s="22">
        <v>5.3</v>
      </c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5.3</v>
      </c>
      <c r="AY48" s="22">
        <f t="shared" si="3"/>
        <v>5.0236966824644549</v>
      </c>
    </row>
    <row r="49" spans="1:53" s="18" customFormat="1" x14ac:dyDescent="0.25">
      <c r="A49" s="12" t="s">
        <v>60</v>
      </c>
      <c r="B49" s="13"/>
      <c r="C49" s="14"/>
      <c r="D49" s="15">
        <f>SUM(D50:D57)</f>
        <v>26.35</v>
      </c>
      <c r="E49" s="14"/>
      <c r="F49" s="15">
        <f>SUM(F50:F57)</f>
        <v>89.17</v>
      </c>
      <c r="G49" s="14"/>
      <c r="H49" s="15">
        <f>SUM(H50:H57)</f>
        <v>20.47</v>
      </c>
      <c r="I49" s="14"/>
      <c r="J49" s="15">
        <f>SUM(J50:J57)</f>
        <v>205.85999999999996</v>
      </c>
      <c r="K49" s="70"/>
      <c r="L49" s="70">
        <f>SUM(L50:L57)</f>
        <v>30.6</v>
      </c>
      <c r="M49" s="14"/>
      <c r="N49" s="15">
        <f>SUM(N50:N57)</f>
        <v>9.9</v>
      </c>
      <c r="O49" s="14"/>
      <c r="P49" s="15">
        <f>SUM(P50:P57)</f>
        <v>93.550000000000011</v>
      </c>
      <c r="Q49" s="14"/>
      <c r="R49" s="15">
        <f>SUM(R50:R57)</f>
        <v>281.06000000000006</v>
      </c>
      <c r="S49" s="14"/>
      <c r="T49" s="15">
        <f>SUM(T50:T57)</f>
        <v>50.29</v>
      </c>
      <c r="U49" s="14"/>
      <c r="V49" s="15">
        <f>SUM(V50:V57)</f>
        <v>0</v>
      </c>
      <c r="W49" s="14"/>
      <c r="X49" s="15">
        <f>SUM(X50:X57)</f>
        <v>0</v>
      </c>
      <c r="Y49" s="14"/>
      <c r="Z49" s="15">
        <f>SUM(Z50:Z57)</f>
        <v>0</v>
      </c>
      <c r="AA49" s="14"/>
      <c r="AB49" s="15">
        <f>SUM(AB50:AB57)</f>
        <v>0</v>
      </c>
      <c r="AC49" s="14"/>
      <c r="AD49" s="15">
        <f>SUM(AD50:AD57)</f>
        <v>0</v>
      </c>
      <c r="AE49" s="14"/>
      <c r="AF49" s="15">
        <f>SUM(AF50:AF57)</f>
        <v>0</v>
      </c>
      <c r="AG49" s="14"/>
      <c r="AH49" s="15">
        <f>SUM(AH50:AH57)</f>
        <v>0</v>
      </c>
      <c r="AI49" s="14"/>
      <c r="AJ49" s="15">
        <f>SUM(AJ50:AJ57)</f>
        <v>0</v>
      </c>
      <c r="AK49" s="14"/>
      <c r="AL49" s="15">
        <f>SUM(AL50:AL57)</f>
        <v>0</v>
      </c>
      <c r="AM49" s="14"/>
      <c r="AN49" s="15">
        <f>SUM(AN50:AN57)</f>
        <v>0</v>
      </c>
      <c r="AO49" s="14"/>
      <c r="AP49" s="15">
        <f>SUM(AP50:AP57)</f>
        <v>0</v>
      </c>
      <c r="AQ49" s="14"/>
      <c r="AR49" s="15">
        <f>SUM(AR50:AR57)</f>
        <v>0</v>
      </c>
      <c r="AS49" s="14"/>
      <c r="AT49" s="15">
        <f>SUM(AT50:AT57)</f>
        <v>0</v>
      </c>
      <c r="AU49" s="14"/>
      <c r="AV49" s="15">
        <f>SUM(AV50:AV57)</f>
        <v>0</v>
      </c>
      <c r="AX49" s="71">
        <f t="shared" si="2"/>
        <v>807.25</v>
      </c>
      <c r="AY49" s="15">
        <f t="shared" si="3"/>
        <v>765.16587677725124</v>
      </c>
    </row>
    <row r="50" spans="1:53" x14ac:dyDescent="0.25">
      <c r="A50" s="19" t="s">
        <v>61</v>
      </c>
      <c r="B50" s="20" t="s">
        <v>34</v>
      </c>
      <c r="C50" s="25"/>
      <c r="D50" s="22"/>
      <c r="E50" s="25">
        <v>1.17</v>
      </c>
      <c r="F50" s="22">
        <v>26.93</v>
      </c>
      <c r="G50" s="25"/>
      <c r="H50" s="22">
        <v>3.83</v>
      </c>
      <c r="I50" s="25">
        <v>1.95</v>
      </c>
      <c r="J50" s="22">
        <v>44.88</v>
      </c>
      <c r="K50" s="1"/>
      <c r="L50" s="73">
        <v>2</v>
      </c>
      <c r="M50" s="25"/>
      <c r="N50" s="22">
        <v>4.5</v>
      </c>
      <c r="O50" s="25">
        <v>1.425</v>
      </c>
      <c r="P50" s="22">
        <f>32.79+5</f>
        <v>37.79</v>
      </c>
      <c r="Q50" s="25">
        <v>3.125</v>
      </c>
      <c r="R50" s="22">
        <v>71.89</v>
      </c>
      <c r="S50" s="25"/>
      <c r="T50" s="22">
        <v>1.5</v>
      </c>
      <c r="U50" s="25"/>
      <c r="V50" s="22"/>
      <c r="W50" s="25"/>
      <c r="X50" s="22"/>
      <c r="Y50" s="25"/>
      <c r="Z50" s="22"/>
      <c r="AA50" s="25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193.32000000000002</v>
      </c>
      <c r="AY50" s="22">
        <f t="shared" si="3"/>
        <v>183.24170616113747</v>
      </c>
    </row>
    <row r="51" spans="1:53" x14ac:dyDescent="0.25">
      <c r="A51" s="19" t="s">
        <v>62</v>
      </c>
      <c r="B51" s="20" t="s">
        <v>34</v>
      </c>
      <c r="C51"/>
      <c r="D51" s="22"/>
      <c r="E51"/>
      <c r="F51" s="22"/>
      <c r="G51"/>
      <c r="H51" s="22"/>
      <c r="I51" s="1">
        <v>0.13500000000000001</v>
      </c>
      <c r="J51" s="22">
        <v>3.11</v>
      </c>
      <c r="K51" s="1"/>
      <c r="L51" s="22"/>
      <c r="M51"/>
      <c r="N51" s="22"/>
      <c r="O51" s="1">
        <v>0.14000000000000001</v>
      </c>
      <c r="P51" s="22">
        <v>3.22</v>
      </c>
      <c r="Q51" s="1">
        <v>0.48</v>
      </c>
      <c r="R51" s="22">
        <f>11.04+10</f>
        <v>21.04</v>
      </c>
      <c r="S51"/>
      <c r="T51" s="22">
        <v>3.7</v>
      </c>
      <c r="U51"/>
      <c r="V51" s="22"/>
      <c r="W51"/>
      <c r="X51" s="22"/>
      <c r="Y51"/>
      <c r="Z51" s="22"/>
      <c r="AA51"/>
      <c r="AB51" s="22"/>
      <c r="AC51"/>
      <c r="AD51" s="22"/>
      <c r="AE51"/>
      <c r="AF51" s="22"/>
      <c r="AG51"/>
      <c r="AH51" s="22"/>
      <c r="AI51"/>
      <c r="AJ51" s="22"/>
      <c r="AK51"/>
      <c r="AL51" s="22"/>
      <c r="AM51"/>
      <c r="AN51" s="22"/>
      <c r="AO51"/>
      <c r="AP51" s="22"/>
      <c r="AQ51"/>
      <c r="AR51" s="22"/>
      <c r="AS51"/>
      <c r="AT51" s="22"/>
      <c r="AU51"/>
      <c r="AV51" s="22"/>
      <c r="AW51"/>
      <c r="AX51" s="74">
        <f t="shared" si="2"/>
        <v>31.069999999999997</v>
      </c>
      <c r="AY51" s="22">
        <f t="shared" si="3"/>
        <v>29.450236966824644</v>
      </c>
    </row>
    <row r="52" spans="1:53" x14ac:dyDescent="0.25">
      <c r="A52" s="19" t="s">
        <v>63</v>
      </c>
      <c r="B52" s="20" t="s">
        <v>34</v>
      </c>
      <c r="C52"/>
      <c r="D52" s="22"/>
      <c r="E52" s="1">
        <v>0.33</v>
      </c>
      <c r="F52" s="22">
        <v>7.59</v>
      </c>
      <c r="G52"/>
      <c r="H52" s="22"/>
      <c r="I52" s="1">
        <v>0.77500000000000002</v>
      </c>
      <c r="J52" s="22">
        <v>17.84</v>
      </c>
      <c r="K52" s="1"/>
      <c r="L52" s="22"/>
      <c r="M52"/>
      <c r="N52" s="22">
        <v>5.4</v>
      </c>
      <c r="O52" s="1">
        <v>0.42499999999999999</v>
      </c>
      <c r="P52" s="22">
        <v>9.7799999999999994</v>
      </c>
      <c r="Q52" s="1">
        <v>0.79</v>
      </c>
      <c r="R52" s="22">
        <f>18.18+10</f>
        <v>28.18</v>
      </c>
      <c r="S52"/>
      <c r="T52" s="22"/>
      <c r="U52"/>
      <c r="V52" s="22"/>
      <c r="W52"/>
      <c r="X52" s="22"/>
      <c r="Y52"/>
      <c r="Z52" s="22"/>
      <c r="AA52"/>
      <c r="AB52" s="22"/>
      <c r="AC52"/>
      <c r="AD52" s="22"/>
      <c r="AE52"/>
      <c r="AF52" s="22"/>
      <c r="AG52"/>
      <c r="AH52" s="22"/>
      <c r="AI52"/>
      <c r="AJ52" s="22"/>
      <c r="AK52"/>
      <c r="AL52" s="22"/>
      <c r="AM52"/>
      <c r="AN52" s="22"/>
      <c r="AO52"/>
      <c r="AP52" s="22"/>
      <c r="AQ52"/>
      <c r="AR52" s="22"/>
      <c r="AS52"/>
      <c r="AT52" s="22"/>
      <c r="AU52"/>
      <c r="AV52" s="22"/>
      <c r="AW52"/>
      <c r="AX52" s="74">
        <f t="shared" si="2"/>
        <v>68.790000000000006</v>
      </c>
      <c r="AY52" s="22">
        <f t="shared" si="3"/>
        <v>65.203791469194329</v>
      </c>
    </row>
    <row r="53" spans="1:53" x14ac:dyDescent="0.25">
      <c r="A53" s="19" t="s">
        <v>64</v>
      </c>
      <c r="B53" s="20" t="s">
        <v>34</v>
      </c>
      <c r="C53" s="25"/>
      <c r="D53" s="22">
        <v>3.24</v>
      </c>
      <c r="E53" s="25">
        <v>0.3</v>
      </c>
      <c r="F53" s="22">
        <v>11.72</v>
      </c>
      <c r="G53" s="25"/>
      <c r="H53" s="22"/>
      <c r="I53" s="25">
        <v>0.99</v>
      </c>
      <c r="J53" s="22">
        <v>38.619999999999997</v>
      </c>
      <c r="K53" s="1"/>
      <c r="L53" s="73"/>
      <c r="M53" s="25"/>
      <c r="N53" s="22"/>
      <c r="O53" s="25">
        <v>0.4</v>
      </c>
      <c r="P53" s="22">
        <v>15.61</v>
      </c>
      <c r="Q53" s="25">
        <v>1.0049999999999999</v>
      </c>
      <c r="R53" s="22">
        <f>39.21+10</f>
        <v>49.21</v>
      </c>
      <c r="S53" s="25"/>
      <c r="T53" s="22">
        <v>3.24</v>
      </c>
      <c r="U53" s="85"/>
      <c r="V53" s="22"/>
      <c r="W53" s="25"/>
      <c r="X53" s="22"/>
      <c r="Y53" s="25"/>
      <c r="Z53" s="22"/>
      <c r="AA53" s="25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121.64</v>
      </c>
      <c r="AY53" s="22">
        <f t="shared" si="3"/>
        <v>115.29857819905214</v>
      </c>
    </row>
    <row r="54" spans="1:53" x14ac:dyDescent="0.25">
      <c r="A54" s="19" t="s">
        <v>65</v>
      </c>
      <c r="B54" s="20" t="s">
        <v>34</v>
      </c>
      <c r="C54" s="25"/>
      <c r="D54" s="22"/>
      <c r="E54" s="25">
        <v>1.2849999999999999</v>
      </c>
      <c r="F54" s="22">
        <v>29.57</v>
      </c>
      <c r="G54" s="25"/>
      <c r="H54" s="22"/>
      <c r="I54" s="25">
        <v>2.33</v>
      </c>
      <c r="J54" s="22">
        <v>53.6</v>
      </c>
      <c r="K54" s="1"/>
      <c r="L54" s="73">
        <v>3.6</v>
      </c>
      <c r="M54" s="25"/>
      <c r="N54" s="22"/>
      <c r="O54" s="25">
        <v>1.18</v>
      </c>
      <c r="P54" s="22">
        <v>27.15</v>
      </c>
      <c r="Q54" s="25">
        <v>2.62</v>
      </c>
      <c r="R54" s="22">
        <f>60.27+10</f>
        <v>70.27000000000001</v>
      </c>
      <c r="S54" s="25"/>
      <c r="T54" s="22">
        <v>6.48</v>
      </c>
      <c r="U54" s="25"/>
      <c r="V54" s="22"/>
      <c r="W54" s="25"/>
      <c r="X54" s="22"/>
      <c r="Y54" s="25"/>
      <c r="Z54" s="22"/>
      <c r="AA54" s="25"/>
      <c r="AB54" s="22"/>
      <c r="AC54" s="25"/>
      <c r="AD54" s="22"/>
      <c r="AE54" s="25"/>
      <c r="AF54" s="22"/>
      <c r="AG54" s="25"/>
      <c r="AH54" s="22"/>
      <c r="AI54" s="25"/>
      <c r="AJ54" s="22"/>
      <c r="AK54" s="25"/>
      <c r="AL54" s="22"/>
      <c r="AM54" s="25"/>
      <c r="AN54" s="22"/>
      <c r="AO54" s="25"/>
      <c r="AP54" s="22"/>
      <c r="AQ54" s="25"/>
      <c r="AR54" s="22"/>
      <c r="AS54" s="25"/>
      <c r="AT54" s="22"/>
      <c r="AU54" s="25"/>
      <c r="AV54" s="22"/>
      <c r="AW54"/>
      <c r="AX54" s="74">
        <f t="shared" si="2"/>
        <v>190.67</v>
      </c>
      <c r="AY54" s="22">
        <f t="shared" si="3"/>
        <v>180.72985781990522</v>
      </c>
    </row>
    <row r="55" spans="1:53" x14ac:dyDescent="0.25">
      <c r="A55" s="19" t="s">
        <v>66</v>
      </c>
      <c r="B55" s="20" t="s">
        <v>34</v>
      </c>
      <c r="C55" s="25"/>
      <c r="D55" s="22">
        <v>23.11</v>
      </c>
      <c r="E55" s="25">
        <v>1.405</v>
      </c>
      <c r="F55" s="22">
        <v>13.36</v>
      </c>
      <c r="G55" s="25"/>
      <c r="H55" s="22">
        <f>13.64+3</f>
        <v>16.64</v>
      </c>
      <c r="I55" s="25">
        <v>3.9049999999999998</v>
      </c>
      <c r="J55" s="22">
        <v>37.11</v>
      </c>
      <c r="K55" s="1"/>
      <c r="L55" s="73">
        <v>25</v>
      </c>
      <c r="M55" s="25"/>
      <c r="N55" s="22"/>
      <c r="O55" s="25"/>
      <c r="P55" s="22"/>
      <c r="Q55" s="25">
        <v>2.8050000000000002</v>
      </c>
      <c r="R55" s="22">
        <v>26.67</v>
      </c>
      <c r="S55" s="25"/>
      <c r="T55" s="22">
        <v>35.369999999999997</v>
      </c>
      <c r="U55" s="25"/>
      <c r="V55" s="22"/>
      <c r="W55" s="25"/>
      <c r="X55" s="22"/>
      <c r="Y55" s="25"/>
      <c r="Z55" s="22"/>
      <c r="AA55" s="25"/>
      <c r="AB55" s="22"/>
      <c r="AC55" s="25"/>
      <c r="AD55" s="22"/>
      <c r="AE55" s="25"/>
      <c r="AF55" s="22"/>
      <c r="AG55" s="25"/>
      <c r="AH55" s="22"/>
      <c r="AI55" s="25"/>
      <c r="AJ55" s="22"/>
      <c r="AK55" s="25"/>
      <c r="AL55" s="22"/>
      <c r="AM55" s="25"/>
      <c r="AN55" s="22"/>
      <c r="AO55" s="25"/>
      <c r="AP55" s="22"/>
      <c r="AQ55" s="25"/>
      <c r="AR55" s="22"/>
      <c r="AS55" s="25"/>
      <c r="AT55" s="22"/>
      <c r="AU55" s="25"/>
      <c r="AV55" s="22"/>
      <c r="AW55"/>
      <c r="AX55" s="74">
        <f t="shared" si="2"/>
        <v>177.26</v>
      </c>
      <c r="AY55" s="22">
        <f t="shared" si="3"/>
        <v>168.01895734597156</v>
      </c>
    </row>
    <row r="56" spans="1:53" x14ac:dyDescent="0.25">
      <c r="A56" s="19" t="s">
        <v>38</v>
      </c>
      <c r="B56" s="20" t="s">
        <v>34</v>
      </c>
      <c r="C56" s="25"/>
      <c r="D56" s="22"/>
      <c r="E56" s="25"/>
      <c r="F56" s="22"/>
      <c r="G56" s="25"/>
      <c r="H56" s="22"/>
      <c r="I56" s="25">
        <v>0.46500000000000002</v>
      </c>
      <c r="J56" s="22">
        <v>10.7</v>
      </c>
      <c r="K56" s="1"/>
      <c r="L56" s="73"/>
      <c r="M56" s="25"/>
      <c r="N56" s="22"/>
      <c r="O56" s="25"/>
      <c r="P56" s="22"/>
      <c r="Q56" s="25">
        <v>0.6</v>
      </c>
      <c r="R56" s="22">
        <v>13.8</v>
      </c>
      <c r="S56" s="25"/>
      <c r="T56" s="22"/>
      <c r="U56" s="25"/>
      <c r="V56" s="22"/>
      <c r="W56" s="25"/>
      <c r="X56" s="22"/>
      <c r="Y56" s="25"/>
      <c r="Z56" s="22"/>
      <c r="AA56" s="25"/>
      <c r="AB56" s="22"/>
      <c r="AC56" s="25"/>
      <c r="AD56" s="22"/>
      <c r="AE56" s="25"/>
      <c r="AF56" s="22"/>
      <c r="AG56" s="25"/>
      <c r="AH56" s="22"/>
      <c r="AI56" s="25"/>
      <c r="AJ56" s="22"/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/>
      <c r="AX56" s="74">
        <f t="shared" si="2"/>
        <v>24.5</v>
      </c>
      <c r="AY56" s="22">
        <f t="shared" si="3"/>
        <v>23.222748815165879</v>
      </c>
    </row>
    <row r="57" spans="1:53" x14ac:dyDescent="0.25">
      <c r="A57" s="19" t="s">
        <v>114</v>
      </c>
      <c r="B57" s="20"/>
      <c r="C57" s="25"/>
      <c r="D57" s="22"/>
      <c r="E57" s="25"/>
      <c r="F57" s="22"/>
      <c r="G57" s="25"/>
      <c r="H57" s="22"/>
      <c r="I57" s="25"/>
      <c r="J57" s="22"/>
      <c r="K57" s="1"/>
      <c r="L57" s="73"/>
      <c r="M57" s="25"/>
      <c r="N57" s="22"/>
      <c r="O57" s="25"/>
      <c r="P57" s="22"/>
      <c r="Q57" s="25"/>
      <c r="R57" s="22"/>
      <c r="S57" s="25"/>
      <c r="T57" s="22"/>
      <c r="U57" s="25"/>
      <c r="V57" s="22"/>
      <c r="W57" s="25"/>
      <c r="X57" s="22"/>
      <c r="Y57" s="25"/>
      <c r="Z57" s="22"/>
      <c r="AA57" s="25"/>
      <c r="AB57" s="22"/>
      <c r="AC57" s="25"/>
      <c r="AD57" s="22"/>
      <c r="AE57" s="25"/>
      <c r="AF57" s="22"/>
      <c r="AG57" s="25"/>
      <c r="AH57" s="22"/>
      <c r="AI57" s="25"/>
      <c r="AJ57" s="22"/>
      <c r="AK57" s="25"/>
      <c r="AL57" s="22"/>
      <c r="AM57" s="25"/>
      <c r="AN57" s="22"/>
      <c r="AO57" s="25"/>
      <c r="AP57" s="22"/>
      <c r="AQ57" s="25"/>
      <c r="AR57" s="22"/>
      <c r="AS57" s="25"/>
      <c r="AT57" s="22"/>
      <c r="AU57" s="25"/>
      <c r="AV57" s="22"/>
      <c r="AW57"/>
      <c r="AX57" s="74">
        <f t="shared" si="2"/>
        <v>0</v>
      </c>
      <c r="AY57" s="22">
        <f t="shared" si="3"/>
        <v>0</v>
      </c>
    </row>
    <row r="58" spans="1:53" s="18" customFormat="1" x14ac:dyDescent="0.25">
      <c r="A58" s="12" t="s">
        <v>67</v>
      </c>
      <c r="B58" s="13"/>
      <c r="C58" s="14"/>
      <c r="D58" s="15">
        <f>SUM(D59:D60)</f>
        <v>12.5</v>
      </c>
      <c r="E58" s="14"/>
      <c r="F58" s="15">
        <f>SUM(F59:F60)</f>
        <v>13.8</v>
      </c>
      <c r="G58" s="14"/>
      <c r="H58" s="15">
        <f>SUM(H59:H60)</f>
        <v>12.5</v>
      </c>
      <c r="I58" s="14"/>
      <c r="J58" s="15">
        <f>SUM(J59:J60)</f>
        <v>6.9</v>
      </c>
      <c r="K58" s="70"/>
      <c r="L58" s="70">
        <f>SUM(L59:L60)</f>
        <v>15.8</v>
      </c>
      <c r="M58" s="14"/>
      <c r="N58" s="15">
        <f>SUM(N59:N60)</f>
        <v>2.5</v>
      </c>
      <c r="O58" s="14"/>
      <c r="P58" s="15">
        <f>SUM(P59:P60)</f>
        <v>13.299999999999999</v>
      </c>
      <c r="Q58" s="14"/>
      <c r="R58" s="15">
        <f>SUM(R59:R60)</f>
        <v>6.9</v>
      </c>
      <c r="S58" s="14"/>
      <c r="T58" s="15">
        <f>SUM(T59:T60)</f>
        <v>15.8</v>
      </c>
      <c r="U58" s="14"/>
      <c r="V58" s="15">
        <f>SUM(V59:V60)</f>
        <v>0</v>
      </c>
      <c r="W58" s="14"/>
      <c r="X58" s="15">
        <f>SUM(X59:X60)</f>
        <v>0</v>
      </c>
      <c r="Y58" s="14"/>
      <c r="Z58" s="15">
        <f>SUM(Z59:Z60)</f>
        <v>0</v>
      </c>
      <c r="AA58" s="14"/>
      <c r="AB58" s="15">
        <f>SUM(AB59:AB60)</f>
        <v>0</v>
      </c>
      <c r="AC58" s="14"/>
      <c r="AD58" s="15">
        <f>SUM(AD59:AD60)</f>
        <v>0</v>
      </c>
      <c r="AE58" s="14"/>
      <c r="AF58" s="15">
        <f>SUM(AF59:AF60)</f>
        <v>0</v>
      </c>
      <c r="AG58" s="14"/>
      <c r="AH58" s="15">
        <f>SUM(AH59:AH60)</f>
        <v>0</v>
      </c>
      <c r="AI58" s="14"/>
      <c r="AJ58" s="15">
        <f>SUM(AJ59:AJ60)</f>
        <v>0</v>
      </c>
      <c r="AK58" s="14"/>
      <c r="AL58" s="15">
        <f>SUM(AL59:AL60)</f>
        <v>0</v>
      </c>
      <c r="AM58" s="14"/>
      <c r="AN58" s="15">
        <f>SUM(AN59:AN60)</f>
        <v>0</v>
      </c>
      <c r="AO58" s="14"/>
      <c r="AP58" s="15">
        <f>SUM(AP59:AP60)</f>
        <v>0</v>
      </c>
      <c r="AQ58" s="14"/>
      <c r="AR58" s="15">
        <f>SUM(AR59:AR60)</f>
        <v>0</v>
      </c>
      <c r="AS58" s="14"/>
      <c r="AT58" s="15">
        <f>SUM(AT59:AT60)</f>
        <v>0</v>
      </c>
      <c r="AU58" s="14"/>
      <c r="AV58" s="15">
        <f>SUM(AV59:AV60)</f>
        <v>0</v>
      </c>
      <c r="AX58" s="71">
        <f t="shared" si="2"/>
        <v>99.999999999999986</v>
      </c>
      <c r="AY58" s="15">
        <f t="shared" si="3"/>
        <v>94.786729857819893</v>
      </c>
    </row>
    <row r="59" spans="1:53" x14ac:dyDescent="0.25">
      <c r="A59" s="19" t="s">
        <v>68</v>
      </c>
      <c r="B59" s="20" t="s">
        <v>69</v>
      </c>
      <c r="C59" s="21">
        <v>5</v>
      </c>
      <c r="D59" s="22">
        <v>12.5</v>
      </c>
      <c r="E59" s="21">
        <v>6</v>
      </c>
      <c r="F59" s="22">
        <v>13.8</v>
      </c>
      <c r="G59" s="21">
        <v>5</v>
      </c>
      <c r="H59" s="22">
        <v>12.5</v>
      </c>
      <c r="I59" s="21">
        <v>3</v>
      </c>
      <c r="J59" s="22">
        <v>6.9</v>
      </c>
      <c r="K59" s="24">
        <v>4</v>
      </c>
      <c r="L59" s="73">
        <v>10</v>
      </c>
      <c r="M59" s="21"/>
      <c r="N59" s="22">
        <v>2.5</v>
      </c>
      <c r="O59" s="21">
        <v>2</v>
      </c>
      <c r="P59" s="22">
        <v>4.5999999999999996</v>
      </c>
      <c r="Q59" s="21">
        <v>3</v>
      </c>
      <c r="R59" s="22">
        <v>6.9</v>
      </c>
      <c r="S59" s="21">
        <v>4</v>
      </c>
      <c r="T59" s="22">
        <v>10</v>
      </c>
      <c r="U59" s="21"/>
      <c r="V59" s="22"/>
      <c r="W59" s="21"/>
      <c r="X59" s="22"/>
      <c r="Y59" s="21"/>
      <c r="Z59" s="22"/>
      <c r="AA59" s="21"/>
      <c r="AB59" s="22"/>
      <c r="AC59" s="21"/>
      <c r="AD59" s="22"/>
      <c r="AE59" s="21"/>
      <c r="AF59" s="22"/>
      <c r="AG59" s="21"/>
      <c r="AH59" s="22"/>
      <c r="AI59" s="21"/>
      <c r="AJ59" s="22"/>
      <c r="AK59" s="21"/>
      <c r="AL59" s="22"/>
      <c r="AM59" s="21"/>
      <c r="AN59" s="22"/>
      <c r="AO59" s="21"/>
      <c r="AP59" s="22"/>
      <c r="AQ59" s="21"/>
      <c r="AR59" s="22"/>
      <c r="AS59" s="21"/>
      <c r="AT59" s="22"/>
      <c r="AU59" s="21"/>
      <c r="AV59" s="22"/>
      <c r="AW59"/>
      <c r="AX59" s="74">
        <f t="shared" si="2"/>
        <v>79.7</v>
      </c>
      <c r="AY59" s="22">
        <f t="shared" si="3"/>
        <v>75.545023696682478</v>
      </c>
      <c r="BA59" s="75"/>
    </row>
    <row r="60" spans="1:53" x14ac:dyDescent="0.25">
      <c r="A60" s="7" t="s">
        <v>70</v>
      </c>
      <c r="B60" s="8" t="s">
        <v>69</v>
      </c>
      <c r="C60" s="26"/>
      <c r="D60" s="10"/>
      <c r="E60" s="26"/>
      <c r="F60" s="10"/>
      <c r="G60" s="26"/>
      <c r="H60" s="10"/>
      <c r="I60" s="26"/>
      <c r="J60" s="10"/>
      <c r="K60" s="26">
        <v>2</v>
      </c>
      <c r="L60" s="68">
        <v>5.8</v>
      </c>
      <c r="M60" s="26"/>
      <c r="N60" s="10"/>
      <c r="O60" s="26">
        <v>3</v>
      </c>
      <c r="P60" s="10">
        <v>8.6999999999999993</v>
      </c>
      <c r="Q60" s="26"/>
      <c r="R60" s="10"/>
      <c r="S60" s="26">
        <v>2</v>
      </c>
      <c r="T60" s="10">
        <v>5.8</v>
      </c>
      <c r="U60" s="26"/>
      <c r="V60" s="10"/>
      <c r="W60" s="26"/>
      <c r="X60" s="10"/>
      <c r="Y60" s="26"/>
      <c r="Z60" s="10"/>
      <c r="AA60" s="26"/>
      <c r="AB60" s="10"/>
      <c r="AC60" s="26"/>
      <c r="AD60" s="10"/>
      <c r="AE60" s="26"/>
      <c r="AF60" s="10"/>
      <c r="AG60" s="26"/>
      <c r="AH60" s="10"/>
      <c r="AI60" s="26"/>
      <c r="AJ60" s="10"/>
      <c r="AK60" s="26"/>
      <c r="AL60" s="10"/>
      <c r="AM60" s="26"/>
      <c r="AN60" s="10"/>
      <c r="AO60" s="26"/>
      <c r="AP60" s="10"/>
      <c r="AQ60" s="26"/>
      <c r="AR60" s="10"/>
      <c r="AS60" s="26"/>
      <c r="AT60" s="10"/>
      <c r="AU60" s="26"/>
      <c r="AV60" s="10"/>
      <c r="AW60"/>
      <c r="AX60" s="77">
        <f t="shared" si="2"/>
        <v>20.3</v>
      </c>
      <c r="AY60" s="10">
        <f t="shared" si="3"/>
        <v>19.241706161137444</v>
      </c>
    </row>
    <row r="61" spans="1:53" s="18" customFormat="1" x14ac:dyDescent="0.25">
      <c r="A61" s="12" t="s">
        <v>71</v>
      </c>
      <c r="B61" s="13"/>
      <c r="C61" s="14"/>
      <c r="D61" s="15">
        <f>SUM(D62:D62)</f>
        <v>2</v>
      </c>
      <c r="E61" s="14"/>
      <c r="F61" s="15">
        <f>SUM(F62:F62)</f>
        <v>0</v>
      </c>
      <c r="G61" s="14"/>
      <c r="H61" s="15">
        <f>SUM(H62:H62)</f>
        <v>0</v>
      </c>
      <c r="I61" s="14"/>
      <c r="J61" s="15">
        <f>SUM(J62:J62)</f>
        <v>0</v>
      </c>
      <c r="K61" s="70"/>
      <c r="L61" s="70"/>
      <c r="M61" s="14"/>
      <c r="N61" s="15">
        <f>SUM(N62:N62)</f>
        <v>0</v>
      </c>
      <c r="O61" s="14"/>
      <c r="P61" s="15">
        <f>SUM(P62:P62)</f>
        <v>0</v>
      </c>
      <c r="Q61" s="14"/>
      <c r="R61" s="15">
        <f>SUM(R62:R62)</f>
        <v>0</v>
      </c>
      <c r="S61" s="14"/>
      <c r="T61" s="15">
        <f>SUM(T62:T62)</f>
        <v>1.65</v>
      </c>
      <c r="U61" s="14"/>
      <c r="V61" s="15">
        <f>SUM(V62:V62)</f>
        <v>0</v>
      </c>
      <c r="W61" s="14"/>
      <c r="X61" s="15">
        <f>SUM(X62:X62)</f>
        <v>0</v>
      </c>
      <c r="Y61" s="14"/>
      <c r="Z61" s="15">
        <f>SUM(Z62:Z62)</f>
        <v>0</v>
      </c>
      <c r="AA61" s="14"/>
      <c r="AB61" s="15">
        <f>SUM(AB62:AB62)</f>
        <v>0</v>
      </c>
      <c r="AC61" s="14"/>
      <c r="AD61" s="15">
        <f>SUM(AD62:AD62)</f>
        <v>0</v>
      </c>
      <c r="AE61" s="14"/>
      <c r="AF61" s="15">
        <f>SUM(AF62:AF62)</f>
        <v>0</v>
      </c>
      <c r="AG61" s="14"/>
      <c r="AH61" s="15">
        <f>SUM(AH62:AH62)</f>
        <v>0</v>
      </c>
      <c r="AI61" s="14"/>
      <c r="AJ61" s="15">
        <f>SUM(AJ62:AJ62)</f>
        <v>0</v>
      </c>
      <c r="AK61" s="14"/>
      <c r="AL61" s="15">
        <f>SUM(AL62:AL62)</f>
        <v>0</v>
      </c>
      <c r="AM61" s="14"/>
      <c r="AN61" s="15">
        <f>SUM(AN62:AN62)</f>
        <v>0</v>
      </c>
      <c r="AO61" s="14"/>
      <c r="AP61" s="15">
        <f>SUM(AP62:AP62)</f>
        <v>0</v>
      </c>
      <c r="AQ61" s="14"/>
      <c r="AR61" s="15">
        <f>SUM(AR62:AR62)</f>
        <v>0</v>
      </c>
      <c r="AS61" s="14"/>
      <c r="AT61" s="15">
        <f>SUM(AT62:AT62)</f>
        <v>0</v>
      </c>
      <c r="AU61" s="14"/>
      <c r="AV61" s="15">
        <f>SUM(AV62:AV62)</f>
        <v>0</v>
      </c>
      <c r="AX61" s="71">
        <f t="shared" si="2"/>
        <v>3.65</v>
      </c>
      <c r="AY61" s="15">
        <f t="shared" si="3"/>
        <v>3.4597156398104265</v>
      </c>
    </row>
    <row r="62" spans="1:53" x14ac:dyDescent="0.25">
      <c r="A62" s="7" t="s">
        <v>72</v>
      </c>
      <c r="B62" s="8" t="s">
        <v>73</v>
      </c>
      <c r="C62" s="26">
        <v>6</v>
      </c>
      <c r="D62" s="10">
        <v>2</v>
      </c>
      <c r="E62" s="26"/>
      <c r="F62" s="10"/>
      <c r="G62" s="26"/>
      <c r="H62" s="10"/>
      <c r="I62" s="26"/>
      <c r="J62" s="10"/>
      <c r="K62" s="76"/>
      <c r="L62" s="68">
        <v>1.35</v>
      </c>
      <c r="M62" s="26"/>
      <c r="N62" s="10"/>
      <c r="O62" s="26"/>
      <c r="P62" s="10"/>
      <c r="Q62" s="26"/>
      <c r="R62" s="10"/>
      <c r="S62" s="26"/>
      <c r="T62" s="10">
        <v>1.65</v>
      </c>
      <c r="U62" s="26"/>
      <c r="V62" s="10"/>
      <c r="W62" s="26"/>
      <c r="X62" s="10"/>
      <c r="Y62" s="26"/>
      <c r="Z62" s="10"/>
      <c r="AA62" s="26"/>
      <c r="AB62" s="10"/>
      <c r="AC62" s="26"/>
      <c r="AD62" s="10"/>
      <c r="AE62" s="26"/>
      <c r="AF62" s="10"/>
      <c r="AG62" s="26"/>
      <c r="AH62" s="10"/>
      <c r="AI62" s="26"/>
      <c r="AJ62" s="10"/>
      <c r="AK62" s="26"/>
      <c r="AL62" s="10"/>
      <c r="AM62" s="26"/>
      <c r="AN62" s="10"/>
      <c r="AO62" s="26"/>
      <c r="AP62" s="10"/>
      <c r="AQ62" s="26"/>
      <c r="AR62" s="10"/>
      <c r="AS62" s="26"/>
      <c r="AT62" s="10"/>
      <c r="AU62" s="26"/>
      <c r="AV62" s="10"/>
      <c r="AW62"/>
      <c r="AX62" s="77">
        <f t="shared" si="2"/>
        <v>5</v>
      </c>
      <c r="AY62" s="10">
        <f t="shared" si="3"/>
        <v>4.7393364928909953</v>
      </c>
    </row>
    <row r="63" spans="1:53" s="30" customFormat="1" x14ac:dyDescent="0.25">
      <c r="A63" s="138" t="s">
        <v>74</v>
      </c>
      <c r="B63" s="138"/>
      <c r="C63" s="28"/>
      <c r="D63" s="29">
        <f>D3+D32+D49+D58+D61</f>
        <v>318.77000000000004</v>
      </c>
      <c r="E63" s="28"/>
      <c r="F63" s="29">
        <f>F3+F32+F49+F58+F61</f>
        <v>651.14</v>
      </c>
      <c r="G63" s="28"/>
      <c r="H63" s="29">
        <f>H3+H32+H49+H58+H61</f>
        <v>214.61</v>
      </c>
      <c r="I63" s="28"/>
      <c r="J63" s="29">
        <f>J3+J32+J49+J58+J61</f>
        <v>1068.69</v>
      </c>
      <c r="K63" s="29"/>
      <c r="L63" s="29">
        <f>L3+L32+L49+L58+L61</f>
        <v>344.78000000000003</v>
      </c>
      <c r="M63" s="28"/>
      <c r="N63" s="29">
        <f>N3+N32+N49+N58+N61</f>
        <v>218.64</v>
      </c>
      <c r="O63" s="28"/>
      <c r="P63" s="29">
        <f>P3+P32+P49+P58+P61</f>
        <v>698.2800000000002</v>
      </c>
      <c r="Q63" s="28"/>
      <c r="R63" s="29">
        <f>R3+R32+R49+R58+R61</f>
        <v>926.33</v>
      </c>
      <c r="S63" s="28"/>
      <c r="T63" s="29">
        <f>T3+T32+T49+T58+T61</f>
        <v>387</v>
      </c>
      <c r="U63" s="28"/>
      <c r="V63" s="29">
        <f>V3+V32+V49+V58+V61</f>
        <v>0</v>
      </c>
      <c r="W63" s="28"/>
      <c r="X63" s="29">
        <f>X3+X32+X49+X58+X61</f>
        <v>0</v>
      </c>
      <c r="Y63" s="28"/>
      <c r="Z63" s="29">
        <f>Z3+Z32+Z49+Z58+Z61</f>
        <v>0</v>
      </c>
      <c r="AA63" s="28"/>
      <c r="AB63" s="29">
        <f>AB3+AB32+AB49+AB58+AB61</f>
        <v>0</v>
      </c>
      <c r="AC63" s="28"/>
      <c r="AD63" s="29">
        <f>AD3+AD32+AD49+AD58+AD61</f>
        <v>0</v>
      </c>
      <c r="AE63" s="28"/>
      <c r="AF63" s="29">
        <f>AF3+AF32+AF49+AF58+AF61</f>
        <v>0</v>
      </c>
      <c r="AG63" s="28"/>
      <c r="AH63" s="29">
        <f>AH3+AH32+AH49+AH58+AH61</f>
        <v>0</v>
      </c>
      <c r="AI63" s="28"/>
      <c r="AJ63" s="29">
        <f>AJ3+AJ32+AJ49+AJ58+AJ61</f>
        <v>0</v>
      </c>
      <c r="AK63" s="28"/>
      <c r="AL63" s="29">
        <f>AL3+AL32+AL49+AL58+AL61</f>
        <v>0</v>
      </c>
      <c r="AM63" s="28"/>
      <c r="AN63" s="29">
        <f>AN3+AN32+AN49+AN58+AN61</f>
        <v>0</v>
      </c>
      <c r="AO63" s="28"/>
      <c r="AP63" s="29">
        <f>AP3+AP32+AP49+AP58+AP61</f>
        <v>0</v>
      </c>
      <c r="AQ63" s="28"/>
      <c r="AR63" s="29">
        <f>AR3+AR32+AR49+AR58+AR61</f>
        <v>0</v>
      </c>
      <c r="AS63" s="28"/>
      <c r="AT63" s="29">
        <f>AT3+AT32+AT49+AT58+AT61</f>
        <v>0</v>
      </c>
      <c r="AU63" s="28"/>
      <c r="AV63" s="29">
        <f>AV3+AV32+AV49+AV58+AV61</f>
        <v>0</v>
      </c>
      <c r="AW63" s="29"/>
      <c r="AX63" s="28">
        <f t="shared" si="2"/>
        <v>4828.2400000000007</v>
      </c>
      <c r="AY63" s="29">
        <f t="shared" si="3"/>
        <v>4576.5308056872045</v>
      </c>
    </row>
    <row r="64" spans="1:53" x14ac:dyDescent="0.2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Y64" s="78"/>
      <c r="AZ64" s="91"/>
    </row>
    <row r="65" spans="1:51" x14ac:dyDescent="0.25">
      <c r="A65" s="139" t="s">
        <v>75</v>
      </c>
      <c r="B65" s="33" t="s">
        <v>76</v>
      </c>
      <c r="C65" s="34"/>
      <c r="D65" s="35">
        <f>325-20.58</f>
        <v>304.42</v>
      </c>
      <c r="E65" s="34"/>
      <c r="F65" s="36">
        <f>685.9-57.08</f>
        <v>628.81999999999994</v>
      </c>
      <c r="G65" s="34"/>
      <c r="H65" s="37">
        <f>230-27.11</f>
        <v>202.89</v>
      </c>
      <c r="I65" s="34"/>
      <c r="J65" s="37">
        <f>1010</f>
        <v>1010</v>
      </c>
      <c r="K65" s="36"/>
      <c r="L65" s="36">
        <v>345</v>
      </c>
      <c r="M65" s="34"/>
      <c r="N65" s="37">
        <f>250-31.23</f>
        <v>218.77</v>
      </c>
      <c r="O65" s="34"/>
      <c r="P65" s="37">
        <f>715.8-55.39</f>
        <v>660.41</v>
      </c>
      <c r="Q65" s="34"/>
      <c r="R65" s="36">
        <f>890-102.95</f>
        <v>787.05</v>
      </c>
      <c r="S65" s="34"/>
      <c r="T65" s="37">
        <v>387</v>
      </c>
      <c r="U65" s="34"/>
      <c r="V65" s="37"/>
      <c r="W65" s="34"/>
      <c r="X65" s="37"/>
      <c r="Y65" s="34"/>
      <c r="Z65" s="37"/>
      <c r="AA65" s="34"/>
      <c r="AB65" s="37"/>
      <c r="AC65" s="34"/>
      <c r="AD65" s="37"/>
      <c r="AE65" s="34"/>
      <c r="AF65" s="37"/>
      <c r="AG65" s="34"/>
      <c r="AH65" s="37"/>
      <c r="AI65" s="34"/>
      <c r="AJ65" s="37"/>
      <c r="AK65" s="34"/>
      <c r="AL65" s="37"/>
      <c r="AM65" s="34"/>
      <c r="AN65" s="37"/>
      <c r="AO65" s="34"/>
      <c r="AP65" s="37"/>
      <c r="AQ65" s="34"/>
      <c r="AR65" s="37"/>
      <c r="AS65" s="34"/>
      <c r="AT65" s="37"/>
      <c r="AU65" s="34"/>
      <c r="AV65" s="37"/>
      <c r="AW65" s="79"/>
      <c r="AX65" s="92">
        <f>SUM(D65,F65,H65,J65,L65,N65,P65,R65,T65,V65,X65,Z65,AB65,AD65,AF65,AH65,AJ65,AL65,AN65,AP65,AR65,AT65,AV65)</f>
        <v>4544.3599999999997</v>
      </c>
      <c r="AY65" s="37">
        <f>AX65/1.055</f>
        <v>4307.4502369668244</v>
      </c>
    </row>
    <row r="66" spans="1:51" x14ac:dyDescent="0.25">
      <c r="A66" s="139"/>
      <c r="B66" s="38" t="s">
        <v>77</v>
      </c>
      <c r="C66" s="39"/>
      <c r="D66" s="40">
        <v>14.5</v>
      </c>
      <c r="E66" s="39">
        <v>2</v>
      </c>
      <c r="F66" s="41">
        <v>22.72</v>
      </c>
      <c r="G66" s="39">
        <v>1</v>
      </c>
      <c r="H66" s="42">
        <v>11.69</v>
      </c>
      <c r="I66" s="39">
        <v>4</v>
      </c>
      <c r="J66" s="42">
        <v>59.3</v>
      </c>
      <c r="K66" s="88"/>
      <c r="L66" s="41"/>
      <c r="M66" s="39"/>
      <c r="N66" s="42"/>
      <c r="O66" s="39">
        <v>2</v>
      </c>
      <c r="P66" s="42">
        <v>38.659999999999997</v>
      </c>
      <c r="Q66" s="43">
        <v>7</v>
      </c>
      <c r="R66" s="41">
        <v>139.26</v>
      </c>
      <c r="S66" s="39"/>
      <c r="T66" s="42"/>
      <c r="U66" s="39"/>
      <c r="V66" s="42"/>
      <c r="W66" s="39"/>
      <c r="X66" s="42"/>
      <c r="Y66" s="39"/>
      <c r="Z66" s="42"/>
      <c r="AA66" s="39"/>
      <c r="AB66" s="42"/>
      <c r="AC66" s="39"/>
      <c r="AD66" s="42"/>
      <c r="AE66" s="39"/>
      <c r="AF66" s="42"/>
      <c r="AG66" s="39"/>
      <c r="AH66" s="42"/>
      <c r="AI66" s="39"/>
      <c r="AJ66" s="42"/>
      <c r="AK66" s="39"/>
      <c r="AL66" s="42"/>
      <c r="AM66" s="39"/>
      <c r="AN66" s="42"/>
      <c r="AO66" s="39"/>
      <c r="AP66" s="42"/>
      <c r="AQ66" s="39"/>
      <c r="AR66" s="42"/>
      <c r="AS66" s="39"/>
      <c r="AT66" s="42"/>
      <c r="AU66" s="39"/>
      <c r="AV66" s="42"/>
      <c r="AW66" s="80">
        <f>SUM(C66,E66,G66,I66,K66,M66,O66,Q66,S66,U66,W66,Y66,AA66,AC66,AE66,AG66,AI66,AK66,AM66,AO66,AQ66,AS66,AU66)</f>
        <v>16</v>
      </c>
      <c r="AX66" s="93">
        <f>SUM(D66,F66,H66,J66,L66,N66,P66,R66,T66,V66,X66,Z66,AB66,AD66,AF66,AH66,AJ66,AL66,AN66,AP66,AR66,AT66,AV66)</f>
        <v>286.13</v>
      </c>
      <c r="AY66" s="42">
        <f>AX66/1.055</f>
        <v>271.21327014218008</v>
      </c>
    </row>
    <row r="67" spans="1:51" x14ac:dyDescent="0.25">
      <c r="A67" s="139"/>
      <c r="B67" s="38" t="s">
        <v>157</v>
      </c>
      <c r="C67" s="43"/>
      <c r="D67" s="40"/>
      <c r="E67" s="43"/>
      <c r="F67" s="41"/>
      <c r="G67" s="43"/>
      <c r="H67" s="42"/>
      <c r="I67" s="43"/>
      <c r="J67" s="42"/>
      <c r="K67" s="41"/>
      <c r="L67" s="41"/>
      <c r="M67" s="43"/>
      <c r="N67" s="42"/>
      <c r="O67" s="43"/>
      <c r="P67" s="42"/>
      <c r="Q67" s="43"/>
      <c r="R67" s="41"/>
      <c r="S67" s="43"/>
      <c r="T67" s="42"/>
      <c r="U67" s="43"/>
      <c r="V67" s="42"/>
      <c r="W67" s="43"/>
      <c r="X67" s="42"/>
      <c r="Y67" s="43"/>
      <c r="Z67" s="42"/>
      <c r="AA67" s="43"/>
      <c r="AB67" s="42"/>
      <c r="AC67" s="43"/>
      <c r="AD67" s="42"/>
      <c r="AE67" s="43"/>
      <c r="AF67" s="42"/>
      <c r="AG67" s="43"/>
      <c r="AH67" s="42"/>
      <c r="AI67" s="43"/>
      <c r="AJ67" s="42"/>
      <c r="AK67" s="43"/>
      <c r="AL67" s="42"/>
      <c r="AM67" s="43"/>
      <c r="AN67" s="42"/>
      <c r="AO67" s="43"/>
      <c r="AP67" s="42"/>
      <c r="AQ67" s="43"/>
      <c r="AR67" s="42"/>
      <c r="AS67" s="43"/>
      <c r="AT67" s="42"/>
      <c r="AU67" s="43"/>
      <c r="AV67" s="42"/>
      <c r="AW67" s="81"/>
      <c r="AX67" s="94"/>
      <c r="AY67" s="42"/>
    </row>
    <row r="68" spans="1:51" s="51" customFormat="1" x14ac:dyDescent="0.25">
      <c r="A68" s="139"/>
      <c r="B68" s="44" t="s">
        <v>78</v>
      </c>
      <c r="C68" s="45"/>
      <c r="D68" s="46">
        <f>SUM(D65:D67)</f>
        <v>318.92</v>
      </c>
      <c r="E68" s="45"/>
      <c r="F68" s="47">
        <f>SUM(F65:F67)</f>
        <v>651.54</v>
      </c>
      <c r="G68" s="45"/>
      <c r="H68" s="48">
        <f>SUM(H65:H67)</f>
        <v>214.57999999999998</v>
      </c>
      <c r="I68" s="45"/>
      <c r="J68" s="48">
        <f>SUM(J65:J67)</f>
        <v>1069.3</v>
      </c>
      <c r="K68" s="47"/>
      <c r="L68" s="47">
        <f>SUM(L65:L67)</f>
        <v>345</v>
      </c>
      <c r="M68" s="45"/>
      <c r="N68" s="48">
        <f>SUM(N65:N67)</f>
        <v>218.77</v>
      </c>
      <c r="O68" s="45"/>
      <c r="P68" s="48">
        <f>SUM(P65:P67)</f>
        <v>699.06999999999994</v>
      </c>
      <c r="Q68" s="45"/>
      <c r="R68" s="47">
        <f>SUM(R65:R67)</f>
        <v>926.31</v>
      </c>
      <c r="S68" s="45"/>
      <c r="T68" s="48">
        <f>SUM(T65:T67)</f>
        <v>387</v>
      </c>
      <c r="U68" s="45"/>
      <c r="V68" s="48">
        <f>SUM(V65:V67)</f>
        <v>0</v>
      </c>
      <c r="W68" s="45"/>
      <c r="X68" s="48">
        <f>SUM(X65:X67)</f>
        <v>0</v>
      </c>
      <c r="Y68" s="45"/>
      <c r="Z68" s="48">
        <f>SUM(Z65:Z67)</f>
        <v>0</v>
      </c>
      <c r="AA68" s="45"/>
      <c r="AB68" s="48">
        <f>SUM(AB65:AB67)</f>
        <v>0</v>
      </c>
      <c r="AC68" s="45"/>
      <c r="AD68" s="48">
        <f>SUM(AD65:AD67)</f>
        <v>0</v>
      </c>
      <c r="AE68" s="45"/>
      <c r="AF68" s="48">
        <f>SUM(AF65:AF67)</f>
        <v>0</v>
      </c>
      <c r="AG68" s="45"/>
      <c r="AH68" s="48">
        <f>SUM(AH65:AH67)</f>
        <v>0</v>
      </c>
      <c r="AI68" s="45"/>
      <c r="AJ68" s="48">
        <f>SUM(AJ65:AJ67)</f>
        <v>0</v>
      </c>
      <c r="AK68" s="45"/>
      <c r="AL68" s="48">
        <f>SUM(AL65:AL67)</f>
        <v>0</v>
      </c>
      <c r="AM68" s="45"/>
      <c r="AN68" s="48">
        <f>SUM(AN65:AN67)</f>
        <v>0</v>
      </c>
      <c r="AO68" s="45"/>
      <c r="AP68" s="48">
        <f>SUM(AP65:AP67)</f>
        <v>0</v>
      </c>
      <c r="AQ68" s="45"/>
      <c r="AR68" s="48">
        <f>SUM(AR65:AR67)</f>
        <v>0</v>
      </c>
      <c r="AS68" s="45"/>
      <c r="AT68" s="48">
        <f>SUM(AT65:AT67)</f>
        <v>0</v>
      </c>
      <c r="AU68" s="45"/>
      <c r="AV68" s="48">
        <f>SUM(AV65:AV67)</f>
        <v>0</v>
      </c>
      <c r="AW68" s="82"/>
      <c r="AX68" s="95">
        <f>SUM(AX65:AX67)</f>
        <v>4830.49</v>
      </c>
      <c r="AY68" s="48">
        <f>SUM(AY65:AY67)</f>
        <v>4578.6635071090041</v>
      </c>
    </row>
    <row r="69" spans="1:51" ht="15" customHeight="1" x14ac:dyDescent="0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83"/>
      <c r="N69" s="83"/>
      <c r="O69" s="147"/>
      <c r="P69" s="147"/>
      <c r="Q69" s="83"/>
      <c r="R69" s="83"/>
      <c r="S69" s="83"/>
      <c r="T69" s="83"/>
      <c r="U69" s="83"/>
      <c r="V69" s="83"/>
      <c r="W69" s="32"/>
      <c r="X69" s="32"/>
      <c r="Y69" s="32"/>
      <c r="Z69" s="32"/>
      <c r="AA69" s="32"/>
      <c r="AB69" s="32"/>
      <c r="AC69" s="32"/>
      <c r="AD69" s="32"/>
      <c r="AE69" s="66"/>
      <c r="AF69" s="66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</sheetData>
  <mergeCells count="28">
    <mergeCell ref="A63:B63"/>
    <mergeCell ref="A65:A68"/>
    <mergeCell ref="O69:P69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FFFF"/>
  </sheetPr>
  <dimension ref="A1:BA71"/>
  <sheetViews>
    <sheetView windowProtection="1" zoomScaleNormal="100" workbookViewId="0">
      <pane xSplit="2" ySplit="2" topLeftCell="P54" activePane="bottomRight" state="frozen"/>
      <selection pane="topRight" activeCell="P1" sqref="P1"/>
      <selection pane="bottomLeft" activeCell="A54" sqref="A54"/>
      <selection pane="bottomRight" activeCell="Q1" sqref="Q1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.85546875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710937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192</v>
      </c>
      <c r="D1" s="136"/>
      <c r="E1" s="136" t="s">
        <v>193</v>
      </c>
      <c r="F1" s="136"/>
      <c r="G1" s="136" t="s">
        <v>194</v>
      </c>
      <c r="H1" s="136"/>
      <c r="I1" s="136" t="s">
        <v>195</v>
      </c>
      <c r="J1" s="136"/>
      <c r="K1" s="145" t="s">
        <v>196</v>
      </c>
      <c r="L1" s="145"/>
      <c r="M1" s="136" t="s">
        <v>197</v>
      </c>
      <c r="N1" s="136"/>
      <c r="O1" s="136" t="s">
        <v>198</v>
      </c>
      <c r="P1" s="136"/>
      <c r="Q1" s="136" t="s">
        <v>199</v>
      </c>
      <c r="R1" s="136"/>
      <c r="S1" s="136" t="s">
        <v>200</v>
      </c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SUM(D4:D32)</f>
        <v>170.19000000000003</v>
      </c>
      <c r="E3" s="14"/>
      <c r="F3" s="15">
        <f>SUM(F4:F32)</f>
        <v>172.72</v>
      </c>
      <c r="G3" s="14"/>
      <c r="H3" s="15">
        <f>SUM(H4:H32)</f>
        <v>269.2</v>
      </c>
      <c r="I3" s="14"/>
      <c r="J3" s="15">
        <f>SUM(J4:J32)</f>
        <v>125.31999999999998</v>
      </c>
      <c r="K3" s="70"/>
      <c r="L3" s="70">
        <f>SUM(L4:L32)</f>
        <v>71.510000000000005</v>
      </c>
      <c r="M3" s="14"/>
      <c r="N3" s="15">
        <f>SUM(N4:N32)</f>
        <v>147.35</v>
      </c>
      <c r="O3" s="14"/>
      <c r="P3" s="15">
        <f>SUM(P4:P32)</f>
        <v>92.36</v>
      </c>
      <c r="Q3" s="14"/>
      <c r="R3" s="15">
        <f>SUM(R4:R32)</f>
        <v>97.569999999999979</v>
      </c>
      <c r="S3" s="14"/>
      <c r="T3" s="15">
        <f>SUM(T4:T32)</f>
        <v>53.260000000000005</v>
      </c>
      <c r="U3" s="14"/>
      <c r="V3" s="15">
        <f>SUM(V4:V32)</f>
        <v>0</v>
      </c>
      <c r="W3" s="14"/>
      <c r="X3" s="15">
        <f>SUM(X4:X32)</f>
        <v>0</v>
      </c>
      <c r="Y3" s="14"/>
      <c r="Z3" s="15">
        <f>SUM(Z4:Z32)</f>
        <v>0</v>
      </c>
      <c r="AA3" s="14"/>
      <c r="AB3" s="15">
        <f>SUM(AB4:AB32)</f>
        <v>0</v>
      </c>
      <c r="AC3" s="14"/>
      <c r="AD3" s="15">
        <f>SUM(AD4:AD32)</f>
        <v>0</v>
      </c>
      <c r="AE3" s="14"/>
      <c r="AF3" s="15">
        <f>SUM(AF4:AF32)</f>
        <v>0</v>
      </c>
      <c r="AG3" s="14"/>
      <c r="AH3" s="15">
        <f>SUM(AH4:AH32)</f>
        <v>0</v>
      </c>
      <c r="AI3" s="14"/>
      <c r="AJ3" s="15">
        <f>SUM(AJ4:AJ32)</f>
        <v>0</v>
      </c>
      <c r="AK3" s="14"/>
      <c r="AL3" s="15">
        <f>SUM(AL4:AL32)</f>
        <v>0</v>
      </c>
      <c r="AM3" s="14"/>
      <c r="AN3" s="15">
        <f>SUM(AN4:AN32)</f>
        <v>0</v>
      </c>
      <c r="AO3" s="14"/>
      <c r="AP3" s="15">
        <f>SUM(AP4:AP32)</f>
        <v>0</v>
      </c>
      <c r="AQ3" s="14"/>
      <c r="AR3" s="15">
        <f>SUM(AR4:AR32)</f>
        <v>0</v>
      </c>
      <c r="AS3" s="14"/>
      <c r="AT3" s="15">
        <f>SUM(AT4:AT32)</f>
        <v>0</v>
      </c>
      <c r="AU3" s="14"/>
      <c r="AV3" s="15">
        <f>SUM(AV4:AV32)</f>
        <v>0</v>
      </c>
      <c r="AX3" s="84">
        <f t="shared" ref="AX3:AX30" si="0">SUM(AV3,AT3,AR3,AP3,AN3,AL3,AJ3,AH3,AF3,AD3,AB3,Z3,X3,V3,T3,R3,P3,N3,L3,J3,H3,F3,D3)</f>
        <v>1199.48</v>
      </c>
      <c r="AY3" s="15">
        <f t="shared" ref="AY3:AY30" si="1">AX3/1.055</f>
        <v>1136.9478672985783</v>
      </c>
    </row>
    <row r="4" spans="1:51" x14ac:dyDescent="0.25">
      <c r="A4" s="19" t="s">
        <v>25</v>
      </c>
      <c r="B4" s="20" t="s">
        <v>26</v>
      </c>
      <c r="C4" s="21"/>
      <c r="D4" s="2">
        <v>31.5</v>
      </c>
      <c r="E4" s="21">
        <v>4</v>
      </c>
      <c r="F4" s="22">
        <v>14</v>
      </c>
      <c r="G4" s="21">
        <v>2</v>
      </c>
      <c r="H4" s="22">
        <v>7</v>
      </c>
      <c r="I4" s="21"/>
      <c r="J4" s="22"/>
      <c r="K4" s="72"/>
      <c r="L4" s="73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52.5</v>
      </c>
      <c r="AY4" s="22">
        <f t="shared" si="1"/>
        <v>49.763033175355453</v>
      </c>
    </row>
    <row r="5" spans="1:51" x14ac:dyDescent="0.25">
      <c r="A5" s="19" t="s">
        <v>27</v>
      </c>
      <c r="B5" s="20" t="s">
        <v>26</v>
      </c>
      <c r="C5" s="21"/>
      <c r="D5" s="22">
        <v>29.7</v>
      </c>
      <c r="E5" s="21">
        <v>9</v>
      </c>
      <c r="F5" s="22">
        <v>29.7</v>
      </c>
      <c r="G5" s="21">
        <v>2</v>
      </c>
      <c r="H5" s="22">
        <v>6.6</v>
      </c>
      <c r="I5" s="21">
        <v>6</v>
      </c>
      <c r="J5" s="22">
        <v>19.8</v>
      </c>
      <c r="K5" s="72">
        <v>2</v>
      </c>
      <c r="L5" s="73">
        <v>6.6</v>
      </c>
      <c r="M5" s="21">
        <v>8</v>
      </c>
      <c r="N5" s="22">
        <v>26.4</v>
      </c>
      <c r="O5" s="21">
        <v>4</v>
      </c>
      <c r="P5" s="22">
        <v>13.2</v>
      </c>
      <c r="Q5" s="21">
        <v>7</v>
      </c>
      <c r="R5" s="22">
        <v>23.1</v>
      </c>
      <c r="S5" s="21"/>
      <c r="T5" s="22">
        <v>3.3</v>
      </c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158.39999999999998</v>
      </c>
      <c r="AY5" s="22">
        <f t="shared" si="1"/>
        <v>150.14218009478671</v>
      </c>
    </row>
    <row r="6" spans="1:51" x14ac:dyDescent="0.25">
      <c r="A6" s="19" t="s">
        <v>28</v>
      </c>
      <c r="B6" s="20" t="s">
        <v>26</v>
      </c>
      <c r="C6" s="21"/>
      <c r="D6" s="22"/>
      <c r="E6" s="21"/>
      <c r="F6" s="22"/>
      <c r="G6" s="21"/>
      <c r="H6" s="22"/>
      <c r="I6" s="21"/>
      <c r="J6" s="22"/>
      <c r="K6" s="72"/>
      <c r="L6" s="73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4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0</v>
      </c>
      <c r="AY6" s="22">
        <f t="shared" si="1"/>
        <v>0</v>
      </c>
    </row>
    <row r="7" spans="1:51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85"/>
      <c r="L7" s="73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0</v>
      </c>
      <c r="AY7" s="22">
        <f t="shared" si="1"/>
        <v>0</v>
      </c>
    </row>
    <row r="8" spans="1:51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104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31</v>
      </c>
      <c r="B10" s="20" t="s">
        <v>26</v>
      </c>
      <c r="C10" s="21"/>
      <c r="D10" s="22">
        <v>17.5</v>
      </c>
      <c r="E10" s="21">
        <v>13</v>
      </c>
      <c r="F10" s="22">
        <v>33.5</v>
      </c>
      <c r="G10" s="21">
        <v>2</v>
      </c>
      <c r="H10" s="22">
        <v>7</v>
      </c>
      <c r="I10" s="21">
        <v>9</v>
      </c>
      <c r="J10" s="22">
        <v>31.5</v>
      </c>
      <c r="K10" s="72">
        <v>3</v>
      </c>
      <c r="L10" s="73">
        <v>10.5</v>
      </c>
      <c r="M10" s="21">
        <v>5</v>
      </c>
      <c r="N10" s="22">
        <v>17.5</v>
      </c>
      <c r="O10" s="21">
        <v>3</v>
      </c>
      <c r="P10" s="22">
        <v>10.5</v>
      </c>
      <c r="Q10" s="21">
        <v>6</v>
      </c>
      <c r="R10" s="22">
        <v>21</v>
      </c>
      <c r="S10" s="21"/>
      <c r="T10" s="22">
        <v>10.5</v>
      </c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159.5</v>
      </c>
      <c r="AY10" s="22">
        <f t="shared" si="1"/>
        <v>151.18483412322277</v>
      </c>
    </row>
    <row r="11" spans="1:51" x14ac:dyDescent="0.25">
      <c r="A11" s="19" t="s">
        <v>103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85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0</v>
      </c>
      <c r="AY11" s="22">
        <f t="shared" si="1"/>
        <v>0</v>
      </c>
    </row>
    <row r="12" spans="1:51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5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0</v>
      </c>
      <c r="AY12" s="22">
        <f t="shared" si="1"/>
        <v>0</v>
      </c>
    </row>
    <row r="13" spans="1:51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5"/>
      <c r="R13" s="22"/>
      <c r="S13" s="21"/>
      <c r="T13" s="22"/>
      <c r="U13" s="25"/>
      <c r="V13" s="22"/>
      <c r="W13" s="21"/>
      <c r="X13" s="22"/>
      <c r="Y13" s="21"/>
      <c r="Z13" s="22"/>
      <c r="AA13" s="25"/>
      <c r="AB13" s="22"/>
      <c r="AC13" s="21"/>
      <c r="AD13" s="22"/>
      <c r="AE13" s="21"/>
      <c r="AF13" s="22"/>
      <c r="AG13" s="25"/>
      <c r="AH13" s="22"/>
      <c r="AI13" s="21"/>
      <c r="AJ13" s="22"/>
      <c r="AK13" s="25"/>
      <c r="AL13" s="22"/>
      <c r="AM13" s="21"/>
      <c r="AN13" s="22"/>
      <c r="AO13" s="25"/>
      <c r="AP13" s="22"/>
      <c r="AQ13" s="21"/>
      <c r="AR13" s="22"/>
      <c r="AS13" s="21"/>
      <c r="AT13" s="22"/>
      <c r="AU13" s="25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85"/>
      <c r="L14" s="73"/>
      <c r="M14" s="21"/>
      <c r="N14" s="22"/>
      <c r="O14" s="21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33</v>
      </c>
      <c r="B15" s="20" t="s">
        <v>34</v>
      </c>
      <c r="C15" s="25"/>
      <c r="D15" s="22">
        <v>22.13</v>
      </c>
      <c r="E15" s="25"/>
      <c r="F15" s="22">
        <v>22</v>
      </c>
      <c r="G15" s="25"/>
      <c r="H15" s="22">
        <v>5.2</v>
      </c>
      <c r="I15" s="25"/>
      <c r="J15" s="22">
        <v>1.75</v>
      </c>
      <c r="K15" s="85"/>
      <c r="L15" s="73"/>
      <c r="M15" s="25"/>
      <c r="N15" s="22"/>
      <c r="O15" s="25"/>
      <c r="P15" s="22"/>
      <c r="Q15" s="25"/>
      <c r="R15" s="22"/>
      <c r="S15" s="25"/>
      <c r="T15" s="22"/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5"/>
      <c r="AN15" s="22"/>
      <c r="AO15" s="25"/>
      <c r="AP15" s="22"/>
      <c r="AQ15" s="25"/>
      <c r="AR15" s="22"/>
      <c r="AS15" s="25"/>
      <c r="AT15" s="22"/>
      <c r="AU15" s="25"/>
      <c r="AV15" s="22"/>
      <c r="AW15"/>
      <c r="AX15" s="74">
        <f t="shared" si="0"/>
        <v>51.08</v>
      </c>
      <c r="AY15" s="22">
        <f t="shared" si="1"/>
        <v>48.417061611374407</v>
      </c>
    </row>
    <row r="16" spans="1:51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1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37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0</v>
      </c>
      <c r="AY18" s="22">
        <f t="shared" si="1"/>
        <v>0</v>
      </c>
    </row>
    <row r="19" spans="1:51" x14ac:dyDescent="0.25">
      <c r="A19" s="19" t="s">
        <v>38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0</v>
      </c>
      <c r="AY19" s="22">
        <f t="shared" si="1"/>
        <v>0</v>
      </c>
    </row>
    <row r="20" spans="1:51" x14ac:dyDescent="0.25">
      <c r="A20" s="19" t="s">
        <v>39</v>
      </c>
      <c r="B20" s="20" t="s">
        <v>34</v>
      </c>
      <c r="C20"/>
      <c r="D20" s="22"/>
      <c r="E20"/>
      <c r="F20" s="22"/>
      <c r="G20"/>
      <c r="H20" s="22">
        <v>168</v>
      </c>
      <c r="I20"/>
      <c r="J20" s="22"/>
      <c r="K20" s="85"/>
      <c r="L20" s="22"/>
      <c r="M20"/>
      <c r="N20" s="22"/>
      <c r="O20"/>
      <c r="P20" s="22"/>
      <c r="Q20"/>
      <c r="R20" s="22"/>
      <c r="S20"/>
      <c r="T20" s="22"/>
      <c r="U20"/>
      <c r="V20" s="22"/>
      <c r="W20"/>
      <c r="X20" s="22"/>
      <c r="Y20"/>
      <c r="Z20" s="22"/>
      <c r="AA20"/>
      <c r="AB20" s="22"/>
      <c r="AC20"/>
      <c r="AD20" s="22"/>
      <c r="AE20"/>
      <c r="AF20" s="22"/>
      <c r="AG20"/>
      <c r="AH20" s="22"/>
      <c r="AI20"/>
      <c r="AJ20" s="22"/>
      <c r="AK20"/>
      <c r="AL20" s="22"/>
      <c r="AM20"/>
      <c r="AN20" s="22"/>
      <c r="AO20"/>
      <c r="AP20" s="22"/>
      <c r="AQ20"/>
      <c r="AR20" s="22"/>
      <c r="AS20"/>
      <c r="AT20" s="22"/>
      <c r="AU20"/>
      <c r="AV20" s="22"/>
      <c r="AW20"/>
      <c r="AX20" s="74">
        <f t="shared" si="0"/>
        <v>168</v>
      </c>
      <c r="AY20" s="22">
        <f t="shared" si="1"/>
        <v>159.24170616113744</v>
      </c>
    </row>
    <row r="21" spans="1:51" x14ac:dyDescent="0.25">
      <c r="A21" s="19" t="s">
        <v>40</v>
      </c>
      <c r="B21" s="20" t="s">
        <v>34</v>
      </c>
      <c r="C21" s="25"/>
      <c r="D21" s="22">
        <f>22.42</f>
        <v>22.42</v>
      </c>
      <c r="E21" s="25"/>
      <c r="F21" s="22">
        <v>10.29</v>
      </c>
      <c r="G21" s="25"/>
      <c r="H21" s="22">
        <v>12.01</v>
      </c>
      <c r="I21" s="25"/>
      <c r="J21" s="22">
        <v>3</v>
      </c>
      <c r="K21" s="85"/>
      <c r="L21" s="73">
        <v>5.1100000000000003</v>
      </c>
      <c r="M21" s="25"/>
      <c r="N21" s="22">
        <v>12.92</v>
      </c>
      <c r="O21" s="25"/>
      <c r="P21" s="22"/>
      <c r="Q21" s="25"/>
      <c r="R21" s="22">
        <v>1.66</v>
      </c>
      <c r="S21" s="25"/>
      <c r="T21" s="22"/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25"/>
      <c r="AP21" s="22"/>
      <c r="AQ21" s="25"/>
      <c r="AR21" s="22"/>
      <c r="AS21" s="25"/>
      <c r="AT21" s="22"/>
      <c r="AU21" s="25"/>
      <c r="AV21" s="22"/>
      <c r="AW21"/>
      <c r="AX21" s="74">
        <f t="shared" si="0"/>
        <v>67.41</v>
      </c>
      <c r="AY21" s="22">
        <f t="shared" si="1"/>
        <v>63.895734597156398</v>
      </c>
    </row>
    <row r="22" spans="1:51" x14ac:dyDescent="0.25">
      <c r="A22" s="19" t="s">
        <v>30</v>
      </c>
      <c r="B22" s="20" t="s">
        <v>26</v>
      </c>
      <c r="C22" s="21"/>
      <c r="D22" s="22">
        <v>3</v>
      </c>
      <c r="E22" s="21"/>
      <c r="F22" s="22"/>
      <c r="G22" s="21"/>
      <c r="H22" s="22"/>
      <c r="I22" s="21">
        <v>1</v>
      </c>
      <c r="J22" s="22">
        <v>3.5</v>
      </c>
      <c r="K22" s="72"/>
      <c r="L22" s="73"/>
      <c r="M22" s="21"/>
      <c r="N22" s="22"/>
      <c r="O22" s="21">
        <v>1</v>
      </c>
      <c r="P22" s="22">
        <v>3</v>
      </c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2"/>
      <c r="AO22" s="21"/>
      <c r="AP22" s="22"/>
      <c r="AQ22" s="21"/>
      <c r="AR22" s="22"/>
      <c r="AS22" s="21"/>
      <c r="AT22" s="22"/>
      <c r="AU22" s="21"/>
      <c r="AV22" s="22"/>
      <c r="AW22"/>
      <c r="AX22" s="74">
        <f t="shared" si="0"/>
        <v>9.5</v>
      </c>
      <c r="AY22" s="22">
        <f t="shared" si="1"/>
        <v>9.0047393364928912</v>
      </c>
    </row>
    <row r="23" spans="1:51" x14ac:dyDescent="0.25">
      <c r="A23" s="19" t="s">
        <v>105</v>
      </c>
      <c r="B23" s="20" t="s">
        <v>26</v>
      </c>
      <c r="C23" s="21"/>
      <c r="D23" s="22"/>
      <c r="E23" s="21">
        <v>4</v>
      </c>
      <c r="F23" s="22">
        <v>8</v>
      </c>
      <c r="G23" s="21"/>
      <c r="H23" s="22"/>
      <c r="I23" s="21">
        <v>3</v>
      </c>
      <c r="J23" s="22">
        <v>6</v>
      </c>
      <c r="K23" s="85"/>
      <c r="L23" s="73"/>
      <c r="M23" s="21">
        <v>2</v>
      </c>
      <c r="N23" s="22">
        <v>4</v>
      </c>
      <c r="O23" s="21"/>
      <c r="P23" s="22"/>
      <c r="Q23" s="21">
        <v>1</v>
      </c>
      <c r="R23" s="22">
        <v>2</v>
      </c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20</v>
      </c>
      <c r="AY23" s="22">
        <f t="shared" si="1"/>
        <v>18.957345971563981</v>
      </c>
    </row>
    <row r="24" spans="1:51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85"/>
      <c r="L24" s="73"/>
      <c r="M24" s="25"/>
      <c r="N24" s="22"/>
      <c r="O24" s="25"/>
      <c r="P24" s="22"/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U24" s="25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42</v>
      </c>
      <c r="B25" s="20" t="s">
        <v>34</v>
      </c>
      <c r="C25" s="25"/>
      <c r="D25" s="22">
        <v>9.7200000000000006</v>
      </c>
      <c r="E25" s="25"/>
      <c r="F25" s="22">
        <v>3.82</v>
      </c>
      <c r="G25" s="25"/>
      <c r="H25" s="22">
        <v>15.09</v>
      </c>
      <c r="I25" s="25"/>
      <c r="J25" s="22">
        <v>3</v>
      </c>
      <c r="K25" s="85"/>
      <c r="L25" s="73">
        <v>6.02</v>
      </c>
      <c r="M25" s="25"/>
      <c r="N25" s="22">
        <v>19.25</v>
      </c>
      <c r="O25" s="25"/>
      <c r="P25" s="22">
        <v>10</v>
      </c>
      <c r="Q25" s="25"/>
      <c r="R25" s="22"/>
      <c r="S25" s="25"/>
      <c r="T25" s="22">
        <v>5.01</v>
      </c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71.910000000000011</v>
      </c>
      <c r="AY25" s="22">
        <f t="shared" si="1"/>
        <v>68.16113744075831</v>
      </c>
    </row>
    <row r="26" spans="1:51" x14ac:dyDescent="0.25">
      <c r="A26" s="19" t="s">
        <v>43</v>
      </c>
      <c r="B26" s="20" t="s">
        <v>34</v>
      </c>
      <c r="C26" s="25"/>
      <c r="D26" s="22">
        <v>26.14</v>
      </c>
      <c r="E26" s="25"/>
      <c r="F26" s="22">
        <v>45</v>
      </c>
      <c r="G26" s="25"/>
      <c r="H26" s="22">
        <v>29.85</v>
      </c>
      <c r="I26" s="25"/>
      <c r="J26" s="22">
        <v>36.93</v>
      </c>
      <c r="K26" s="85"/>
      <c r="L26" s="73">
        <v>19.25</v>
      </c>
      <c r="M26" s="25"/>
      <c r="N26" s="22">
        <v>21.85</v>
      </c>
      <c r="O26" s="25"/>
      <c r="P26" s="22">
        <v>22.99</v>
      </c>
      <c r="Q26" s="25"/>
      <c r="R26" s="22">
        <v>33.5</v>
      </c>
      <c r="S26" s="25"/>
      <c r="T26" s="22">
        <v>16.2</v>
      </c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251.70999999999998</v>
      </c>
      <c r="AY26" s="22">
        <f t="shared" si="1"/>
        <v>238.58767772511848</v>
      </c>
    </row>
    <row r="27" spans="1:5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179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180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191</v>
      </c>
      <c r="B30" s="20" t="s">
        <v>34</v>
      </c>
      <c r="C30" s="25"/>
      <c r="D30" s="22">
        <v>8.08</v>
      </c>
      <c r="E30" s="25"/>
      <c r="F30" s="22">
        <v>6.41</v>
      </c>
      <c r="G30" s="25"/>
      <c r="H30" s="22">
        <v>13.95</v>
      </c>
      <c r="I30" s="25"/>
      <c r="J30" s="22">
        <v>16.88</v>
      </c>
      <c r="K30" s="85"/>
      <c r="L30" s="73">
        <v>24.03</v>
      </c>
      <c r="M30" s="25"/>
      <c r="N30" s="22">
        <v>32.43</v>
      </c>
      <c r="O30" s="25"/>
      <c r="P30" s="22">
        <v>32.67</v>
      </c>
      <c r="Q30" s="25"/>
      <c r="R30" s="22">
        <v>15.82</v>
      </c>
      <c r="S30" s="25"/>
      <c r="T30" s="22">
        <v>18.25</v>
      </c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168.52</v>
      </c>
      <c r="AY30" s="22">
        <f t="shared" si="1"/>
        <v>159.73459715639811</v>
      </c>
    </row>
    <row r="31" spans="1:51" x14ac:dyDescent="0.25">
      <c r="A31" s="19" t="s">
        <v>201</v>
      </c>
      <c r="B31" s="20" t="s">
        <v>26</v>
      </c>
      <c r="C31" s="25"/>
      <c r="D31" s="22"/>
      <c r="E31" s="25"/>
      <c r="F31" s="22"/>
      <c r="G31" s="21">
        <v>1</v>
      </c>
      <c r="H31" s="22">
        <v>4.5</v>
      </c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/>
      <c r="AY31" s="22"/>
    </row>
    <row r="32" spans="1:51" x14ac:dyDescent="0.25">
      <c r="A32" s="19" t="s">
        <v>202</v>
      </c>
      <c r="B32" s="20" t="s">
        <v>34</v>
      </c>
      <c r="C32" s="25"/>
      <c r="D32" s="22"/>
      <c r="E32" s="25"/>
      <c r="F32" s="22"/>
      <c r="G32" s="25"/>
      <c r="H32" s="22"/>
      <c r="I32" s="25"/>
      <c r="J32" s="22">
        <v>2.96</v>
      </c>
      <c r="K32" s="85"/>
      <c r="L32" s="73"/>
      <c r="M32" s="25"/>
      <c r="N32" s="22">
        <v>13</v>
      </c>
      <c r="O32" s="25"/>
      <c r="P32" s="22"/>
      <c r="Q32" s="25"/>
      <c r="R32" s="22">
        <f>0.49</f>
        <v>0.49</v>
      </c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ref="AX32:AX48" si="2">SUM(AV32,AT32,AR32,AP32,AN32,AL32,AJ32,AH32,AF32,AD32,AB32,Z32,X32,V32,T32,R32,P32,N32,L32,J32,H32,F32,D32)</f>
        <v>16.45</v>
      </c>
      <c r="AY32" s="22">
        <f t="shared" ref="AY32:AY48" si="3">AX32/1.055</f>
        <v>15.592417061611375</v>
      </c>
    </row>
    <row r="33" spans="1:51" s="18" customFormat="1" x14ac:dyDescent="0.25">
      <c r="A33" s="12" t="s">
        <v>46</v>
      </c>
      <c r="B33" s="13"/>
      <c r="C33" s="14"/>
      <c r="D33" s="15">
        <f>SUM(D34:D50)</f>
        <v>39.89</v>
      </c>
      <c r="E33" s="14"/>
      <c r="F33" s="15">
        <f>SUM(F34:F50)</f>
        <v>44.51</v>
      </c>
      <c r="G33" s="14"/>
      <c r="H33" s="15">
        <f>SUM(H34:H50)</f>
        <v>55.4</v>
      </c>
      <c r="I33" s="14"/>
      <c r="J33" s="15">
        <f>SUM(J34:J50)</f>
        <v>39.89</v>
      </c>
      <c r="K33" s="70"/>
      <c r="L33" s="70">
        <f>SUM(L34:L50)</f>
        <v>57.98</v>
      </c>
      <c r="M33" s="14"/>
      <c r="N33" s="15">
        <f>SUM(N34:N50)</f>
        <v>70.350000000000009</v>
      </c>
      <c r="O33" s="14"/>
      <c r="P33" s="15">
        <f>SUM(P34:P50)</f>
        <v>38.730000000000004</v>
      </c>
      <c r="Q33" s="14"/>
      <c r="R33" s="15">
        <f>SUM(R34:R50)</f>
        <v>41.43</v>
      </c>
      <c r="S33" s="14"/>
      <c r="T33" s="15">
        <f>SUM(T34:T50)</f>
        <v>56.650000000000006</v>
      </c>
      <c r="U33" s="14"/>
      <c r="V33" s="15">
        <f>SUM(V34:V50)</f>
        <v>0</v>
      </c>
      <c r="W33" s="14"/>
      <c r="X33" s="15">
        <f>SUM(X34:X50)</f>
        <v>0</v>
      </c>
      <c r="Y33" s="14"/>
      <c r="Z33" s="15">
        <f>SUM(Z34:Z50)</f>
        <v>0</v>
      </c>
      <c r="AA33" s="14"/>
      <c r="AB33" s="15">
        <f>SUM(AB34:AB50)</f>
        <v>0</v>
      </c>
      <c r="AC33" s="14"/>
      <c r="AD33" s="15">
        <f>SUM(AD34:AD50)</f>
        <v>0</v>
      </c>
      <c r="AE33" s="14"/>
      <c r="AF33" s="15">
        <f>SUM(AF34:AF50)</f>
        <v>0</v>
      </c>
      <c r="AG33" s="14"/>
      <c r="AH33" s="15">
        <f>SUM(AH34:AH50)</f>
        <v>0</v>
      </c>
      <c r="AI33" s="14"/>
      <c r="AJ33" s="15">
        <f>SUM(AJ34:AJ50)</f>
        <v>0</v>
      </c>
      <c r="AK33" s="14"/>
      <c r="AL33" s="15">
        <f>SUM(AL34:AL50)</f>
        <v>0</v>
      </c>
      <c r="AM33" s="14"/>
      <c r="AN33" s="15">
        <f>SUM(AN34:AN50)</f>
        <v>0</v>
      </c>
      <c r="AO33" s="14"/>
      <c r="AP33" s="15">
        <f>SUM(AP34:AP50)</f>
        <v>0</v>
      </c>
      <c r="AQ33" s="14"/>
      <c r="AR33" s="15">
        <f>SUM(AR34:AR50)</f>
        <v>0</v>
      </c>
      <c r="AS33" s="14"/>
      <c r="AT33" s="15">
        <f>SUM(AT34:AT50)</f>
        <v>0</v>
      </c>
      <c r="AU33" s="14"/>
      <c r="AV33" s="15">
        <f>SUM(AV34:AV50)</f>
        <v>0</v>
      </c>
      <c r="AX33" s="71">
        <f t="shared" si="2"/>
        <v>444.83</v>
      </c>
      <c r="AY33" s="15">
        <f t="shared" si="3"/>
        <v>421.63981042654029</v>
      </c>
    </row>
    <row r="34" spans="1:51" x14ac:dyDescent="0.25">
      <c r="A34" s="19" t="s">
        <v>47</v>
      </c>
      <c r="B34" s="20" t="s">
        <v>34</v>
      </c>
      <c r="C34" s="25"/>
      <c r="D34" s="22">
        <v>5.48</v>
      </c>
      <c r="E34" s="25"/>
      <c r="F34" s="22">
        <v>0.59</v>
      </c>
      <c r="G34" s="25"/>
      <c r="H34" s="22">
        <v>6.19</v>
      </c>
      <c r="I34" s="25"/>
      <c r="J34" s="22">
        <v>7.99</v>
      </c>
      <c r="K34" s="25"/>
      <c r="L34" s="73">
        <v>0.9</v>
      </c>
      <c r="M34" s="25"/>
      <c r="N34" s="22">
        <v>4.32</v>
      </c>
      <c r="O34" s="25"/>
      <c r="P34" s="22">
        <v>9</v>
      </c>
      <c r="Q34" s="25"/>
      <c r="R34" s="22">
        <v>1.04</v>
      </c>
      <c r="S34" s="21"/>
      <c r="T34" s="22">
        <v>3.06</v>
      </c>
      <c r="U34" s="25"/>
      <c r="V34" s="22"/>
      <c r="W34" s="25"/>
      <c r="X34" s="22"/>
      <c r="Y34" s="25"/>
      <c r="Z34" s="22"/>
      <c r="AA34" s="21"/>
      <c r="AB34" s="22"/>
      <c r="AC34" s="25"/>
      <c r="AD34" s="22"/>
      <c r="AE34" s="25"/>
      <c r="AF34" s="22"/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si="2"/>
        <v>38.570000000000007</v>
      </c>
      <c r="AY34" s="22">
        <f t="shared" si="3"/>
        <v>36.559241706161146</v>
      </c>
    </row>
    <row r="35" spans="1:51" x14ac:dyDescent="0.25">
      <c r="A35" s="19" t="s">
        <v>48</v>
      </c>
      <c r="B35" s="20" t="s">
        <v>34</v>
      </c>
      <c r="C35" s="25"/>
      <c r="D35" s="22">
        <v>17.440000000000001</v>
      </c>
      <c r="E35" s="25"/>
      <c r="F35" s="22">
        <v>16</v>
      </c>
      <c r="G35" s="25"/>
      <c r="H35" s="22">
        <v>19.8</v>
      </c>
      <c r="I35" s="25"/>
      <c r="J35" s="22">
        <v>8.1199999999999992</v>
      </c>
      <c r="K35" s="25"/>
      <c r="L35" s="73">
        <v>29.56</v>
      </c>
      <c r="M35" s="25"/>
      <c r="N35" s="22">
        <v>23.13</v>
      </c>
      <c r="O35" s="25"/>
      <c r="P35" s="22">
        <v>10</v>
      </c>
      <c r="Q35" s="25"/>
      <c r="R35" s="22">
        <v>12.44</v>
      </c>
      <c r="S35" s="21"/>
      <c r="T35" s="22">
        <v>34.130000000000003</v>
      </c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si="2"/>
        <v>170.62</v>
      </c>
      <c r="AY35" s="22">
        <f t="shared" si="3"/>
        <v>161.72511848341233</v>
      </c>
    </row>
    <row r="36" spans="1:51" x14ac:dyDescent="0.25">
      <c r="A36" s="19" t="s">
        <v>49</v>
      </c>
      <c r="B36" s="20" t="s">
        <v>34</v>
      </c>
      <c r="C36" s="25"/>
      <c r="D36" s="22">
        <v>12.76</v>
      </c>
      <c r="E36" s="25"/>
      <c r="F36" s="22">
        <v>15.5</v>
      </c>
      <c r="G36" s="25"/>
      <c r="H36" s="22">
        <v>10.29</v>
      </c>
      <c r="I36" s="25"/>
      <c r="J36" s="22">
        <v>7.75</v>
      </c>
      <c r="K36" s="25"/>
      <c r="L36" s="73">
        <v>13.97</v>
      </c>
      <c r="M36" s="25"/>
      <c r="N36" s="22">
        <v>18.760000000000002</v>
      </c>
      <c r="O36" s="25"/>
      <c r="P36" s="22">
        <v>10</v>
      </c>
      <c r="Q36" s="25"/>
      <c r="R36" s="22">
        <v>7.86</v>
      </c>
      <c r="S36" s="21"/>
      <c r="T36" s="22">
        <f>10.73+2.5</f>
        <v>13.23</v>
      </c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110.11999999999999</v>
      </c>
      <c r="AY36" s="22">
        <f t="shared" si="3"/>
        <v>104.37914691943128</v>
      </c>
    </row>
    <row r="37" spans="1:51" x14ac:dyDescent="0.25">
      <c r="A37" s="19" t="s">
        <v>50</v>
      </c>
      <c r="B37" s="20" t="s">
        <v>34</v>
      </c>
      <c r="C37" s="25"/>
      <c r="D37" s="22">
        <v>3.01</v>
      </c>
      <c r="E37" s="25"/>
      <c r="F37" s="22">
        <v>7.52</v>
      </c>
      <c r="G37" s="25"/>
      <c r="H37" s="22">
        <v>4.58</v>
      </c>
      <c r="I37" s="25"/>
      <c r="J37" s="22">
        <v>5.03</v>
      </c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20.14</v>
      </c>
      <c r="AY37" s="22">
        <f t="shared" si="3"/>
        <v>19.09004739336493</v>
      </c>
    </row>
    <row r="38" spans="1:51" x14ac:dyDescent="0.25">
      <c r="A38" s="19" t="s">
        <v>51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1" x14ac:dyDescent="0.25">
      <c r="A39" s="19" t="s">
        <v>133</v>
      </c>
      <c r="B39" s="20" t="s">
        <v>53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0</v>
      </c>
      <c r="AY39" s="22">
        <f t="shared" si="3"/>
        <v>0</v>
      </c>
    </row>
    <row r="40" spans="1:51" x14ac:dyDescent="0.25">
      <c r="A40" s="19" t="s">
        <v>54</v>
      </c>
      <c r="B40" s="20" t="s">
        <v>55</v>
      </c>
      <c r="C40" s="25"/>
      <c r="D40" s="22"/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0</v>
      </c>
      <c r="AY40" s="22">
        <f t="shared" si="3"/>
        <v>0</v>
      </c>
    </row>
    <row r="41" spans="1:51" x14ac:dyDescent="0.25">
      <c r="A41" s="19" t="s">
        <v>56</v>
      </c>
      <c r="B41" s="20" t="s">
        <v>34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1" x14ac:dyDescent="0.25">
      <c r="A42" s="19" t="s">
        <v>57</v>
      </c>
      <c r="B42" s="20" t="s">
        <v>53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1" x14ac:dyDescent="0.25">
      <c r="A43" s="19" t="s">
        <v>58</v>
      </c>
      <c r="B43" s="20" t="s">
        <v>34</v>
      </c>
      <c r="C43" s="25"/>
      <c r="D43" s="22"/>
      <c r="E43" s="25"/>
      <c r="F43" s="22"/>
      <c r="G43" s="25"/>
      <c r="H43" s="22">
        <v>1.1000000000000001</v>
      </c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1.1000000000000001</v>
      </c>
      <c r="AY43" s="22">
        <f t="shared" si="3"/>
        <v>1.0426540284360191</v>
      </c>
    </row>
    <row r="44" spans="1:51" x14ac:dyDescent="0.25">
      <c r="A44" s="19" t="s">
        <v>110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1" x14ac:dyDescent="0.25">
      <c r="A45" s="19" t="s">
        <v>111</v>
      </c>
      <c r="B45" s="20" t="s">
        <v>34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1" x14ac:dyDescent="0.25">
      <c r="A46" s="19" t="s">
        <v>112</v>
      </c>
      <c r="B46" s="20" t="s">
        <v>53</v>
      </c>
      <c r="C46" s="25"/>
      <c r="D46" s="22">
        <v>1.2</v>
      </c>
      <c r="E46" s="25">
        <v>2</v>
      </c>
      <c r="F46" s="22">
        <v>2.4</v>
      </c>
      <c r="G46" s="25">
        <v>1</v>
      </c>
      <c r="H46" s="22">
        <v>1.8</v>
      </c>
      <c r="I46" s="25"/>
      <c r="J46" s="22"/>
      <c r="K46" s="25"/>
      <c r="L46" s="73"/>
      <c r="M46" s="25">
        <v>2</v>
      </c>
      <c r="N46" s="22">
        <v>3.6</v>
      </c>
      <c r="O46" s="25">
        <v>1</v>
      </c>
      <c r="P46" s="22">
        <v>1.8</v>
      </c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10.799999999999999</v>
      </c>
      <c r="AY46" s="22">
        <f t="shared" si="3"/>
        <v>10.236966824644549</v>
      </c>
    </row>
    <row r="47" spans="1:51" x14ac:dyDescent="0.25">
      <c r="A47" s="19" t="s">
        <v>203</v>
      </c>
      <c r="B47" s="20" t="s">
        <v>34</v>
      </c>
      <c r="C47" s="25"/>
      <c r="D47" s="22"/>
      <c r="E47" s="25"/>
      <c r="F47" s="22"/>
      <c r="G47" s="25"/>
      <c r="H47" s="22"/>
      <c r="I47" s="25"/>
      <c r="J47" s="22"/>
      <c r="K47" s="25"/>
      <c r="L47" s="73">
        <v>9.08</v>
      </c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9.08</v>
      </c>
      <c r="AY47" s="22">
        <f t="shared" si="3"/>
        <v>8.6066350710900483</v>
      </c>
    </row>
    <row r="48" spans="1:51" x14ac:dyDescent="0.25">
      <c r="A48" s="19" t="s">
        <v>134</v>
      </c>
      <c r="B48" s="20" t="s">
        <v>34</v>
      </c>
      <c r="C48" s="25"/>
      <c r="D48" s="22"/>
      <c r="E48" s="25"/>
      <c r="F48" s="22"/>
      <c r="G48" s="25"/>
      <c r="H48" s="22"/>
      <c r="I48" s="25"/>
      <c r="J48" s="22"/>
      <c r="K48" s="25"/>
      <c r="L48" s="73"/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0</v>
      </c>
      <c r="AY48" s="22">
        <f t="shared" si="3"/>
        <v>0</v>
      </c>
    </row>
    <row r="49" spans="1:53" x14ac:dyDescent="0.25">
      <c r="A49" s="19" t="s">
        <v>204</v>
      </c>
      <c r="B49" s="20" t="s">
        <v>34</v>
      </c>
      <c r="C49" s="25"/>
      <c r="D49" s="22"/>
      <c r="E49" s="25"/>
      <c r="F49" s="22"/>
      <c r="G49" s="25"/>
      <c r="H49" s="22">
        <v>7.01</v>
      </c>
      <c r="I49" s="25"/>
      <c r="J49" s="22"/>
      <c r="K49" s="25"/>
      <c r="L49" s="73"/>
      <c r="M49" s="25"/>
      <c r="N49" s="22">
        <v>9.92</v>
      </c>
      <c r="O49" s="25"/>
      <c r="P49" s="22">
        <v>3.45</v>
      </c>
      <c r="Q49" s="25"/>
      <c r="R49" s="22">
        <v>6.26</v>
      </c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/>
      <c r="AY49" s="22"/>
    </row>
    <row r="50" spans="1:53" x14ac:dyDescent="0.25">
      <c r="A50" s="19" t="s">
        <v>59</v>
      </c>
      <c r="B50" s="20"/>
      <c r="C50" s="25"/>
      <c r="D50" s="22"/>
      <c r="E50" s="25"/>
      <c r="F50" s="22">
        <v>2.5</v>
      </c>
      <c r="G50" s="25"/>
      <c r="H50" s="22">
        <v>4.63</v>
      </c>
      <c r="I50" s="25"/>
      <c r="J50" s="22">
        <v>11</v>
      </c>
      <c r="K50" s="25"/>
      <c r="L50" s="73">
        <v>4.47</v>
      </c>
      <c r="M50" s="25"/>
      <c r="N50" s="22">
        <f>7.25+3.37</f>
        <v>10.620000000000001</v>
      </c>
      <c r="O50" s="25"/>
      <c r="P50" s="22">
        <f>4.48</f>
        <v>4.4800000000000004</v>
      </c>
      <c r="Q50" s="25"/>
      <c r="R50" s="22">
        <f>6.32+7.51</f>
        <v>13.83</v>
      </c>
      <c r="S50" s="21"/>
      <c r="T50" s="22">
        <f>3.78+2.45</f>
        <v>6.23</v>
      </c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ref="AX50:AX65" si="4">SUM(AV50,AT50,AR50,AP50,AN50,AL50,AJ50,AH50,AF50,AD50,AB50,Z50,X50,V50,T50,R50,P50,N50,L50,J50,H50,F50,D50)</f>
        <v>57.760000000000005</v>
      </c>
      <c r="AY50" s="22">
        <f t="shared" ref="AY50:AY65" si="5">AX50/1.055</f>
        <v>54.748815165876785</v>
      </c>
    </row>
    <row r="51" spans="1:53" s="18" customFormat="1" x14ac:dyDescent="0.25">
      <c r="A51" s="12" t="s">
        <v>60</v>
      </c>
      <c r="B51" s="13"/>
      <c r="C51" s="14"/>
      <c r="D51" s="15">
        <f>SUM(D52:D59)</f>
        <v>28.62</v>
      </c>
      <c r="E51" s="14"/>
      <c r="F51" s="15">
        <f>SUM(F52:F59)</f>
        <v>35.379999999999995</v>
      </c>
      <c r="G51" s="14"/>
      <c r="H51" s="15">
        <f>SUM(H52:H59)</f>
        <v>13.629999999999999</v>
      </c>
      <c r="I51" s="14"/>
      <c r="J51" s="15">
        <f>SUM(J52:J59)</f>
        <v>27.339999999999996</v>
      </c>
      <c r="K51" s="70"/>
      <c r="L51" s="70">
        <f>SUM(L52:L59)</f>
        <v>26.03</v>
      </c>
      <c r="M51" s="14"/>
      <c r="N51" s="15">
        <f>SUM(N52:N59)</f>
        <v>26.299999999999997</v>
      </c>
      <c r="O51" s="14"/>
      <c r="P51" s="15">
        <f>SUM(P52:P59)</f>
        <v>7.26</v>
      </c>
      <c r="Q51" s="14"/>
      <c r="R51" s="15">
        <f>SUM(R52:R59)</f>
        <v>39.299999999999997</v>
      </c>
      <c r="S51" s="14"/>
      <c r="T51" s="15">
        <f>SUM(T52:T59)</f>
        <v>0</v>
      </c>
      <c r="U51" s="14"/>
      <c r="V51" s="15">
        <f>SUM(V52:V59)</f>
        <v>0</v>
      </c>
      <c r="W51" s="14"/>
      <c r="X51" s="15">
        <f>SUM(X52:X59)</f>
        <v>0</v>
      </c>
      <c r="Y51" s="14"/>
      <c r="Z51" s="15">
        <f>SUM(Z52:Z59)</f>
        <v>0</v>
      </c>
      <c r="AA51" s="14"/>
      <c r="AB51" s="15">
        <f>SUM(AB52:AB59)</f>
        <v>0</v>
      </c>
      <c r="AC51" s="14"/>
      <c r="AD51" s="15">
        <f>SUM(AD52:AD59)</f>
        <v>0</v>
      </c>
      <c r="AE51" s="14"/>
      <c r="AF51" s="15">
        <f>SUM(AF52:AF59)</f>
        <v>0</v>
      </c>
      <c r="AG51" s="14"/>
      <c r="AH51" s="15">
        <f>SUM(AH52:AH59)</f>
        <v>0</v>
      </c>
      <c r="AI51" s="14"/>
      <c r="AJ51" s="15">
        <f>SUM(AJ52:AJ59)</f>
        <v>0</v>
      </c>
      <c r="AK51" s="14"/>
      <c r="AL51" s="15">
        <f>SUM(AL52:AL59)</f>
        <v>0</v>
      </c>
      <c r="AM51" s="14"/>
      <c r="AN51" s="15">
        <f>SUM(AN52:AN59)</f>
        <v>0</v>
      </c>
      <c r="AO51" s="14"/>
      <c r="AP51" s="15">
        <f>SUM(AP52:AP59)</f>
        <v>0</v>
      </c>
      <c r="AQ51" s="14"/>
      <c r="AR51" s="15">
        <f>SUM(AR52:AR59)</f>
        <v>0</v>
      </c>
      <c r="AS51" s="14"/>
      <c r="AT51" s="15">
        <f>SUM(AT52:AT59)</f>
        <v>0</v>
      </c>
      <c r="AU51" s="14"/>
      <c r="AV51" s="15">
        <f>SUM(AV52:AV59)</f>
        <v>0</v>
      </c>
      <c r="AX51" s="71">
        <f t="shared" si="4"/>
        <v>203.85999999999999</v>
      </c>
      <c r="AY51" s="15">
        <f t="shared" si="5"/>
        <v>193.23222748815166</v>
      </c>
    </row>
    <row r="52" spans="1:53" x14ac:dyDescent="0.25">
      <c r="A52" s="19" t="s">
        <v>61</v>
      </c>
      <c r="B52" s="20" t="s">
        <v>34</v>
      </c>
      <c r="C52" s="25"/>
      <c r="D52" s="22"/>
      <c r="E52" s="25"/>
      <c r="F52" s="22">
        <v>4.05</v>
      </c>
      <c r="G52" s="25"/>
      <c r="H52" s="22"/>
      <c r="I52" s="25"/>
      <c r="J52" s="22"/>
      <c r="K52" s="1"/>
      <c r="L52" s="73">
        <v>12</v>
      </c>
      <c r="M52" s="25"/>
      <c r="N52" s="22">
        <v>6.5</v>
      </c>
      <c r="O52" s="25"/>
      <c r="P52" s="22"/>
      <c r="Q52" s="25"/>
      <c r="R52" s="22"/>
      <c r="S52" s="25"/>
      <c r="T52" s="22"/>
      <c r="U52" s="25"/>
      <c r="V52" s="22"/>
      <c r="W52" s="25"/>
      <c r="X52" s="22"/>
      <c r="Y52" s="25"/>
      <c r="Z52" s="22"/>
      <c r="AA52" s="25"/>
      <c r="AB52" s="22"/>
      <c r="AC52" s="25"/>
      <c r="AD52" s="22"/>
      <c r="AE52" s="25"/>
      <c r="AF52" s="22"/>
      <c r="AG52" s="25"/>
      <c r="AH52" s="22"/>
      <c r="AI52" s="25"/>
      <c r="AJ52" s="22"/>
      <c r="AK52" s="25"/>
      <c r="AL52" s="22"/>
      <c r="AM52" s="25"/>
      <c r="AN52" s="22"/>
      <c r="AO52" s="25"/>
      <c r="AP52" s="22"/>
      <c r="AQ52" s="25"/>
      <c r="AR52" s="22"/>
      <c r="AS52" s="25"/>
      <c r="AT52" s="22"/>
      <c r="AU52" s="25"/>
      <c r="AV52" s="22"/>
      <c r="AW52"/>
      <c r="AX52" s="74">
        <f t="shared" si="4"/>
        <v>22.55</v>
      </c>
      <c r="AY52" s="22">
        <f t="shared" si="5"/>
        <v>21.374407582938389</v>
      </c>
    </row>
    <row r="53" spans="1:53" x14ac:dyDescent="0.25">
      <c r="A53" s="19" t="s">
        <v>62</v>
      </c>
      <c r="B53" s="20" t="s">
        <v>34</v>
      </c>
      <c r="C53"/>
      <c r="D53" s="22"/>
      <c r="E53"/>
      <c r="F53" s="22">
        <v>2.8</v>
      </c>
      <c r="G53"/>
      <c r="H53" s="22"/>
      <c r="I53"/>
      <c r="J53" s="22">
        <v>4.5599999999999996</v>
      </c>
      <c r="K53" s="1"/>
      <c r="L53" s="22"/>
      <c r="M53"/>
      <c r="N53" s="22"/>
      <c r="O53"/>
      <c r="P53" s="22">
        <v>1.43</v>
      </c>
      <c r="Q53"/>
      <c r="R53" s="22"/>
      <c r="S53"/>
      <c r="T53" s="22"/>
      <c r="U53"/>
      <c r="V53" s="22"/>
      <c r="W53"/>
      <c r="X53" s="22"/>
      <c r="Y53"/>
      <c r="Z53" s="22"/>
      <c r="AA53"/>
      <c r="AB53" s="22"/>
      <c r="AC53"/>
      <c r="AD53" s="22"/>
      <c r="AE53"/>
      <c r="AF53" s="22"/>
      <c r="AG53"/>
      <c r="AH53" s="22"/>
      <c r="AI53"/>
      <c r="AJ53" s="22"/>
      <c r="AK53"/>
      <c r="AL53" s="22"/>
      <c r="AM53"/>
      <c r="AN53" s="22"/>
      <c r="AO53"/>
      <c r="AP53" s="22"/>
      <c r="AQ53"/>
      <c r="AR53" s="22"/>
      <c r="AS53"/>
      <c r="AT53" s="22"/>
      <c r="AU53"/>
      <c r="AV53" s="22"/>
      <c r="AW53"/>
      <c r="AX53" s="74">
        <f t="shared" si="4"/>
        <v>8.7899999999999991</v>
      </c>
      <c r="AY53" s="22">
        <f t="shared" si="5"/>
        <v>8.3317535545023702</v>
      </c>
    </row>
    <row r="54" spans="1:53" x14ac:dyDescent="0.25">
      <c r="A54" s="19" t="s">
        <v>63</v>
      </c>
      <c r="B54" s="20" t="s">
        <v>34</v>
      </c>
      <c r="C54"/>
      <c r="D54" s="22"/>
      <c r="E54"/>
      <c r="F54" s="22">
        <v>3.66</v>
      </c>
      <c r="G54"/>
      <c r="H54" s="22"/>
      <c r="I54"/>
      <c r="J54" s="22"/>
      <c r="K54" s="1"/>
      <c r="L54" s="22"/>
      <c r="M54"/>
      <c r="N54" s="22">
        <v>4.8499999999999996</v>
      </c>
      <c r="O54"/>
      <c r="P54" s="22">
        <v>2</v>
      </c>
      <c r="Q54"/>
      <c r="R54" s="22">
        <v>3.8</v>
      </c>
      <c r="S54"/>
      <c r="T54" s="22"/>
      <c r="U54"/>
      <c r="V54" s="22"/>
      <c r="W54"/>
      <c r="X54" s="22"/>
      <c r="Y54"/>
      <c r="Z54" s="22"/>
      <c r="AA54"/>
      <c r="AB54" s="22"/>
      <c r="AC54"/>
      <c r="AD54" s="22"/>
      <c r="AE54"/>
      <c r="AF54" s="22"/>
      <c r="AG54"/>
      <c r="AH54" s="22"/>
      <c r="AI54"/>
      <c r="AJ54" s="22"/>
      <c r="AK54"/>
      <c r="AL54" s="22"/>
      <c r="AM54"/>
      <c r="AN54" s="22"/>
      <c r="AO54"/>
      <c r="AP54" s="22"/>
      <c r="AQ54"/>
      <c r="AR54" s="22"/>
      <c r="AS54"/>
      <c r="AT54" s="22"/>
      <c r="AU54"/>
      <c r="AV54" s="22"/>
      <c r="AW54"/>
      <c r="AX54" s="74">
        <f t="shared" si="4"/>
        <v>14.309999999999999</v>
      </c>
      <c r="AY54" s="22">
        <f t="shared" si="5"/>
        <v>13.563981042654028</v>
      </c>
    </row>
    <row r="55" spans="1:53" x14ac:dyDescent="0.25">
      <c r="A55" s="19" t="s">
        <v>64</v>
      </c>
      <c r="B55" s="20" t="s">
        <v>34</v>
      </c>
      <c r="C55" s="25"/>
      <c r="D55" s="22">
        <v>24.12</v>
      </c>
      <c r="E55" s="25"/>
      <c r="F55" s="22">
        <v>12.6</v>
      </c>
      <c r="G55" s="25"/>
      <c r="H55" s="22"/>
      <c r="I55" s="25"/>
      <c r="J55" s="22">
        <v>10.6</v>
      </c>
      <c r="K55" s="1"/>
      <c r="L55" s="73">
        <v>14.03</v>
      </c>
      <c r="M55" s="25"/>
      <c r="N55" s="22"/>
      <c r="O55" s="25"/>
      <c r="P55" s="22"/>
      <c r="Q55" s="25"/>
      <c r="R55" s="22">
        <v>5.77</v>
      </c>
      <c r="S55" s="25"/>
      <c r="T55" s="22"/>
      <c r="U55" s="85"/>
      <c r="V55" s="22"/>
      <c r="W55" s="25"/>
      <c r="X55" s="22"/>
      <c r="Y55" s="25"/>
      <c r="Z55" s="22"/>
      <c r="AA55" s="25"/>
      <c r="AB55" s="22"/>
      <c r="AC55" s="25"/>
      <c r="AD55" s="22"/>
      <c r="AE55" s="25"/>
      <c r="AF55" s="22"/>
      <c r="AG55" s="25"/>
      <c r="AH55" s="22"/>
      <c r="AI55" s="25"/>
      <c r="AJ55" s="22"/>
      <c r="AK55" s="25"/>
      <c r="AL55" s="22"/>
      <c r="AM55" s="25"/>
      <c r="AN55" s="22"/>
      <c r="AO55" s="25"/>
      <c r="AP55" s="22"/>
      <c r="AQ55" s="25"/>
      <c r="AR55" s="22"/>
      <c r="AS55" s="25"/>
      <c r="AT55" s="22"/>
      <c r="AU55" s="25"/>
      <c r="AV55" s="22"/>
      <c r="AW55"/>
      <c r="AX55" s="74">
        <f t="shared" si="4"/>
        <v>67.12</v>
      </c>
      <c r="AY55" s="22">
        <f t="shared" si="5"/>
        <v>63.620853080568729</v>
      </c>
    </row>
    <row r="56" spans="1:53" x14ac:dyDescent="0.25">
      <c r="A56" s="19" t="s">
        <v>65</v>
      </c>
      <c r="B56" s="20" t="s">
        <v>34</v>
      </c>
      <c r="C56" s="25"/>
      <c r="D56" s="22"/>
      <c r="E56" s="25"/>
      <c r="F56" s="22"/>
      <c r="G56" s="25"/>
      <c r="H56" s="22">
        <v>3.38</v>
      </c>
      <c r="I56" s="25"/>
      <c r="J56" s="22">
        <v>3.15</v>
      </c>
      <c r="K56" s="1"/>
      <c r="L56" s="73"/>
      <c r="M56" s="25"/>
      <c r="N56" s="22"/>
      <c r="O56" s="25"/>
      <c r="P56" s="22">
        <v>3.83</v>
      </c>
      <c r="Q56" s="25"/>
      <c r="R56" s="22">
        <v>4.7300000000000004</v>
      </c>
      <c r="S56" s="25"/>
      <c r="T56" s="22"/>
      <c r="U56" s="25"/>
      <c r="V56" s="22"/>
      <c r="W56" s="25"/>
      <c r="X56" s="22"/>
      <c r="Y56" s="25"/>
      <c r="Z56" s="22"/>
      <c r="AA56" s="25"/>
      <c r="AB56" s="22"/>
      <c r="AC56" s="25"/>
      <c r="AD56" s="22"/>
      <c r="AE56" s="25"/>
      <c r="AF56" s="22"/>
      <c r="AG56" s="25"/>
      <c r="AH56" s="22"/>
      <c r="AI56" s="25"/>
      <c r="AJ56" s="22"/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/>
      <c r="AX56" s="74">
        <f t="shared" si="4"/>
        <v>15.09</v>
      </c>
      <c r="AY56" s="22">
        <f t="shared" si="5"/>
        <v>14.303317535545025</v>
      </c>
    </row>
    <row r="57" spans="1:53" x14ac:dyDescent="0.25">
      <c r="A57" s="19" t="s">
        <v>66</v>
      </c>
      <c r="B57" s="20" t="s">
        <v>34</v>
      </c>
      <c r="C57" s="25"/>
      <c r="D57" s="22">
        <v>4.5</v>
      </c>
      <c r="E57" s="25"/>
      <c r="F57" s="22">
        <v>12.27</v>
      </c>
      <c r="G57" s="25"/>
      <c r="H57" s="22">
        <v>10.25</v>
      </c>
      <c r="I57" s="25"/>
      <c r="J57" s="22">
        <v>9.0299999999999994</v>
      </c>
      <c r="K57" s="1"/>
      <c r="L57" s="73"/>
      <c r="M57" s="25"/>
      <c r="N57" s="22">
        <v>14.95</v>
      </c>
      <c r="O57" s="25"/>
      <c r="P57" s="22"/>
      <c r="Q57" s="25"/>
      <c r="R57" s="22">
        <v>25</v>
      </c>
      <c r="S57" s="25"/>
      <c r="T57" s="22"/>
      <c r="U57" s="25"/>
      <c r="V57" s="22"/>
      <c r="W57" s="25"/>
      <c r="X57" s="22"/>
      <c r="Y57" s="25"/>
      <c r="Z57" s="22"/>
      <c r="AA57" s="25"/>
      <c r="AB57" s="22"/>
      <c r="AC57" s="25"/>
      <c r="AD57" s="22"/>
      <c r="AE57" s="25"/>
      <c r="AF57" s="22"/>
      <c r="AG57" s="25"/>
      <c r="AH57" s="22"/>
      <c r="AI57" s="25"/>
      <c r="AJ57" s="22"/>
      <c r="AK57" s="25"/>
      <c r="AL57" s="22"/>
      <c r="AM57" s="25"/>
      <c r="AN57" s="22"/>
      <c r="AO57" s="25"/>
      <c r="AP57" s="22"/>
      <c r="AQ57" s="25"/>
      <c r="AR57" s="22"/>
      <c r="AS57" s="25"/>
      <c r="AT57" s="22"/>
      <c r="AU57" s="25"/>
      <c r="AV57" s="22"/>
      <c r="AW57"/>
      <c r="AX57" s="74">
        <f t="shared" si="4"/>
        <v>76</v>
      </c>
      <c r="AY57" s="22">
        <f t="shared" si="5"/>
        <v>72.037914691943129</v>
      </c>
    </row>
    <row r="58" spans="1:53" x14ac:dyDescent="0.25">
      <c r="A58" s="19" t="s">
        <v>38</v>
      </c>
      <c r="B58" s="20" t="s">
        <v>34</v>
      </c>
      <c r="C58" s="25"/>
      <c r="D58" s="22"/>
      <c r="E58" s="25"/>
      <c r="F58" s="22"/>
      <c r="G58" s="25"/>
      <c r="H58" s="22"/>
      <c r="I58" s="25"/>
      <c r="J58" s="22"/>
      <c r="K58" s="1"/>
      <c r="L58" s="73"/>
      <c r="M58" s="25"/>
      <c r="N58" s="22"/>
      <c r="O58" s="25"/>
      <c r="P58" s="22"/>
      <c r="Q58" s="25"/>
      <c r="R58" s="22"/>
      <c r="S58" s="25"/>
      <c r="T58" s="22"/>
      <c r="U58" s="25"/>
      <c r="V58" s="22"/>
      <c r="W58" s="25"/>
      <c r="X58" s="22"/>
      <c r="Y58" s="25"/>
      <c r="Z58" s="22"/>
      <c r="AA58" s="25"/>
      <c r="AB58" s="22"/>
      <c r="AC58" s="25"/>
      <c r="AD58" s="22"/>
      <c r="AE58" s="25"/>
      <c r="AF58" s="22"/>
      <c r="AG58" s="25"/>
      <c r="AH58" s="22"/>
      <c r="AI58" s="25"/>
      <c r="AJ58" s="22"/>
      <c r="AK58" s="25"/>
      <c r="AL58" s="22"/>
      <c r="AM58" s="25"/>
      <c r="AN58" s="22"/>
      <c r="AO58" s="25"/>
      <c r="AP58" s="22"/>
      <c r="AQ58" s="25"/>
      <c r="AR58" s="22"/>
      <c r="AS58" s="25"/>
      <c r="AT58" s="22"/>
      <c r="AU58" s="25"/>
      <c r="AV58" s="22"/>
      <c r="AW58"/>
      <c r="AX58" s="74">
        <f t="shared" si="4"/>
        <v>0</v>
      </c>
      <c r="AY58" s="22">
        <f t="shared" si="5"/>
        <v>0</v>
      </c>
    </row>
    <row r="59" spans="1:53" x14ac:dyDescent="0.25">
      <c r="A59" s="19" t="s">
        <v>114</v>
      </c>
      <c r="B59" s="20"/>
      <c r="C59" s="25"/>
      <c r="D59" s="22"/>
      <c r="E59" s="25"/>
      <c r="F59" s="22"/>
      <c r="G59" s="25"/>
      <c r="H59" s="22"/>
      <c r="I59" s="25"/>
      <c r="J59" s="22"/>
      <c r="K59" s="1"/>
      <c r="L59" s="73"/>
      <c r="M59" s="25"/>
      <c r="N59" s="22"/>
      <c r="O59" s="25"/>
      <c r="P59" s="22"/>
      <c r="Q59" s="25"/>
      <c r="R59" s="22"/>
      <c r="S59" s="25"/>
      <c r="T59" s="22"/>
      <c r="U59" s="2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4"/>
        <v>0</v>
      </c>
      <c r="AY59" s="22">
        <f t="shared" si="5"/>
        <v>0</v>
      </c>
    </row>
    <row r="60" spans="1:53" s="18" customFormat="1" x14ac:dyDescent="0.25">
      <c r="A60" s="12" t="s">
        <v>67</v>
      </c>
      <c r="B60" s="13"/>
      <c r="C60" s="14"/>
      <c r="D60" s="15">
        <f>SUM(D61:D62)</f>
        <v>2.5</v>
      </c>
      <c r="E60" s="14"/>
      <c r="F60" s="15">
        <f>SUM(F61:F62)</f>
        <v>5</v>
      </c>
      <c r="G60" s="14"/>
      <c r="H60" s="15">
        <f>SUM(H61:H62)</f>
        <v>2.5</v>
      </c>
      <c r="I60" s="14"/>
      <c r="J60" s="15">
        <f>SUM(J61:J62)</f>
        <v>15.8</v>
      </c>
      <c r="K60" s="70"/>
      <c r="L60" s="70">
        <f>SUM(L61:L62)</f>
        <v>5</v>
      </c>
      <c r="M60" s="14"/>
      <c r="N60" s="15">
        <f>SUM(N61:N62)</f>
        <v>10.4</v>
      </c>
      <c r="O60" s="14"/>
      <c r="P60" s="15">
        <f>SUM(P61:P62)</f>
        <v>11.2</v>
      </c>
      <c r="Q60" s="14"/>
      <c r="R60" s="15">
        <f>SUM(R61:R62)</f>
        <v>10.8</v>
      </c>
      <c r="S60" s="14"/>
      <c r="T60" s="15">
        <f>SUM(T61:T62)</f>
        <v>0</v>
      </c>
      <c r="U60" s="14"/>
      <c r="V60" s="15">
        <f>SUM(V61:V62)</f>
        <v>0</v>
      </c>
      <c r="W60" s="14"/>
      <c r="X60" s="15">
        <f>SUM(X61:X62)</f>
        <v>0</v>
      </c>
      <c r="Y60" s="14"/>
      <c r="Z60" s="15">
        <f>SUM(Z61:Z62)</f>
        <v>0</v>
      </c>
      <c r="AA60" s="14"/>
      <c r="AB60" s="15">
        <f>SUM(AB61:AB62)</f>
        <v>0</v>
      </c>
      <c r="AC60" s="14"/>
      <c r="AD60" s="15">
        <f>SUM(AD61:AD62)</f>
        <v>0</v>
      </c>
      <c r="AE60" s="14"/>
      <c r="AF60" s="15">
        <f>SUM(AF61:AF62)</f>
        <v>0</v>
      </c>
      <c r="AG60" s="14"/>
      <c r="AH60" s="15">
        <f>SUM(AH61:AH62)</f>
        <v>0</v>
      </c>
      <c r="AI60" s="14"/>
      <c r="AJ60" s="15">
        <f>SUM(AJ61:AJ62)</f>
        <v>0</v>
      </c>
      <c r="AK60" s="14"/>
      <c r="AL60" s="15">
        <f>SUM(AL61:AL62)</f>
        <v>0</v>
      </c>
      <c r="AM60" s="14"/>
      <c r="AN60" s="15">
        <f>SUM(AN61:AN62)</f>
        <v>0</v>
      </c>
      <c r="AO60" s="14"/>
      <c r="AP60" s="15">
        <f>SUM(AP61:AP62)</f>
        <v>0</v>
      </c>
      <c r="AQ60" s="14"/>
      <c r="AR60" s="15">
        <f>SUM(AR61:AR62)</f>
        <v>0</v>
      </c>
      <c r="AS60" s="14"/>
      <c r="AT60" s="15">
        <f>SUM(AT61:AT62)</f>
        <v>0</v>
      </c>
      <c r="AU60" s="14"/>
      <c r="AV60" s="15">
        <f>SUM(AV61:AV62)</f>
        <v>0</v>
      </c>
      <c r="AX60" s="71">
        <f t="shared" si="4"/>
        <v>63.2</v>
      </c>
      <c r="AY60" s="15">
        <f t="shared" si="5"/>
        <v>59.905213270142184</v>
      </c>
    </row>
    <row r="61" spans="1:53" x14ac:dyDescent="0.25">
      <c r="A61" s="19" t="s">
        <v>68</v>
      </c>
      <c r="B61" s="20" t="s">
        <v>69</v>
      </c>
      <c r="C61" s="21">
        <v>1</v>
      </c>
      <c r="D61" s="22">
        <v>2.5</v>
      </c>
      <c r="E61" s="21">
        <v>2</v>
      </c>
      <c r="F61" s="22">
        <v>5</v>
      </c>
      <c r="G61" s="21">
        <v>1</v>
      </c>
      <c r="H61" s="22">
        <v>2.5</v>
      </c>
      <c r="I61" s="21">
        <v>4</v>
      </c>
      <c r="J61" s="22">
        <v>10</v>
      </c>
      <c r="K61" s="24">
        <v>2</v>
      </c>
      <c r="L61" s="73">
        <v>5</v>
      </c>
      <c r="M61" s="21">
        <v>3</v>
      </c>
      <c r="N61" s="22">
        <v>7.5</v>
      </c>
      <c r="O61" s="21">
        <v>1</v>
      </c>
      <c r="P61" s="22">
        <v>2.5</v>
      </c>
      <c r="Q61" s="21">
        <v>2</v>
      </c>
      <c r="R61" s="22">
        <v>5</v>
      </c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1"/>
      <c r="AD61" s="22"/>
      <c r="AE61" s="21"/>
      <c r="AF61" s="22"/>
      <c r="AG61" s="21"/>
      <c r="AH61" s="22"/>
      <c r="AI61" s="21"/>
      <c r="AJ61" s="22"/>
      <c r="AK61" s="21"/>
      <c r="AL61" s="22"/>
      <c r="AM61" s="21"/>
      <c r="AN61" s="22"/>
      <c r="AO61" s="21"/>
      <c r="AP61" s="22"/>
      <c r="AQ61" s="21"/>
      <c r="AR61" s="22"/>
      <c r="AS61" s="21"/>
      <c r="AT61" s="22"/>
      <c r="AU61" s="21"/>
      <c r="AV61" s="22"/>
      <c r="AW61"/>
      <c r="AX61" s="74">
        <f t="shared" si="4"/>
        <v>40</v>
      </c>
      <c r="AY61" s="22">
        <f t="shared" si="5"/>
        <v>37.914691943127963</v>
      </c>
      <c r="BA61" s="75"/>
    </row>
    <row r="62" spans="1:53" x14ac:dyDescent="0.25">
      <c r="A62" s="7" t="s">
        <v>70</v>
      </c>
      <c r="B62" s="8" t="s">
        <v>69</v>
      </c>
      <c r="C62" s="26"/>
      <c r="D62" s="10"/>
      <c r="E62" s="26"/>
      <c r="F62" s="10"/>
      <c r="G62" s="26"/>
      <c r="H62" s="10"/>
      <c r="I62" s="26">
        <v>2</v>
      </c>
      <c r="J62" s="10">
        <v>5.8</v>
      </c>
      <c r="K62" s="26"/>
      <c r="L62" s="68"/>
      <c r="M62" s="26">
        <v>1</v>
      </c>
      <c r="N62" s="10">
        <v>2.9</v>
      </c>
      <c r="O62" s="26">
        <v>3</v>
      </c>
      <c r="P62" s="10">
        <v>8.6999999999999993</v>
      </c>
      <c r="Q62" s="26">
        <v>2</v>
      </c>
      <c r="R62" s="10">
        <v>5.8</v>
      </c>
      <c r="S62" s="26"/>
      <c r="T62" s="10"/>
      <c r="U62" s="26"/>
      <c r="V62" s="10"/>
      <c r="W62" s="26"/>
      <c r="X62" s="10"/>
      <c r="Y62" s="26"/>
      <c r="Z62" s="10"/>
      <c r="AA62" s="26"/>
      <c r="AB62" s="10"/>
      <c r="AC62" s="26"/>
      <c r="AD62" s="10"/>
      <c r="AE62" s="26"/>
      <c r="AF62" s="10"/>
      <c r="AG62" s="26"/>
      <c r="AH62" s="10"/>
      <c r="AI62" s="26"/>
      <c r="AJ62" s="10"/>
      <c r="AK62" s="26"/>
      <c r="AL62" s="10"/>
      <c r="AM62" s="26"/>
      <c r="AN62" s="10"/>
      <c r="AO62" s="26"/>
      <c r="AP62" s="10"/>
      <c r="AQ62" s="26"/>
      <c r="AR62" s="10"/>
      <c r="AS62" s="26"/>
      <c r="AT62" s="10"/>
      <c r="AU62" s="26"/>
      <c r="AV62" s="10"/>
      <c r="AW62"/>
      <c r="AX62" s="77">
        <f t="shared" si="4"/>
        <v>23.2</v>
      </c>
      <c r="AY62" s="10">
        <f t="shared" si="5"/>
        <v>21.990521327014218</v>
      </c>
    </row>
    <row r="63" spans="1:53" s="18" customFormat="1" x14ac:dyDescent="0.25">
      <c r="A63" s="12" t="s">
        <v>71</v>
      </c>
      <c r="B63" s="13"/>
      <c r="C63" s="14"/>
      <c r="D63" s="15">
        <f>SUM(D64:D64)</f>
        <v>0</v>
      </c>
      <c r="E63" s="14"/>
      <c r="F63" s="15">
        <f>SUM(F64:F64)</f>
        <v>0</v>
      </c>
      <c r="G63" s="14"/>
      <c r="H63" s="15">
        <f>SUM(H64:H64)</f>
        <v>0</v>
      </c>
      <c r="I63" s="14"/>
      <c r="J63" s="15">
        <f>SUM(J64:J64)</f>
        <v>2</v>
      </c>
      <c r="K63" s="70"/>
      <c r="L63" s="70"/>
      <c r="M63" s="14"/>
      <c r="N63" s="15">
        <f>SUM(N64:N64)</f>
        <v>0</v>
      </c>
      <c r="O63" s="14"/>
      <c r="P63" s="15">
        <f>SUM(P64:P64)</f>
        <v>0</v>
      </c>
      <c r="Q63" s="14"/>
      <c r="R63" s="15">
        <f>SUM(R64:R64)</f>
        <v>0</v>
      </c>
      <c r="S63" s="14"/>
      <c r="T63" s="15">
        <f>SUM(T64:T64)</f>
        <v>0</v>
      </c>
      <c r="U63" s="14"/>
      <c r="V63" s="15">
        <f>SUM(V64:V64)</f>
        <v>0</v>
      </c>
      <c r="W63" s="14"/>
      <c r="X63" s="15">
        <f>SUM(X64:X64)</f>
        <v>0</v>
      </c>
      <c r="Y63" s="14"/>
      <c r="Z63" s="15">
        <f>SUM(Z64:Z64)</f>
        <v>0</v>
      </c>
      <c r="AA63" s="14"/>
      <c r="AB63" s="15">
        <f>SUM(AB64:AB64)</f>
        <v>0</v>
      </c>
      <c r="AC63" s="14"/>
      <c r="AD63" s="15">
        <f>SUM(AD64:AD64)</f>
        <v>0</v>
      </c>
      <c r="AE63" s="14"/>
      <c r="AF63" s="15">
        <f>SUM(AF64:AF64)</f>
        <v>0</v>
      </c>
      <c r="AG63" s="14"/>
      <c r="AH63" s="15">
        <f>SUM(AH64:AH64)</f>
        <v>0</v>
      </c>
      <c r="AI63" s="14"/>
      <c r="AJ63" s="15">
        <f>SUM(AJ64:AJ64)</f>
        <v>0</v>
      </c>
      <c r="AK63" s="14"/>
      <c r="AL63" s="15">
        <f>SUM(AL64:AL64)</f>
        <v>0</v>
      </c>
      <c r="AM63" s="14"/>
      <c r="AN63" s="15">
        <f>SUM(AN64:AN64)</f>
        <v>0</v>
      </c>
      <c r="AO63" s="14"/>
      <c r="AP63" s="15">
        <f>SUM(AP64:AP64)</f>
        <v>0</v>
      </c>
      <c r="AQ63" s="14"/>
      <c r="AR63" s="15">
        <f>SUM(AR64:AR64)</f>
        <v>0</v>
      </c>
      <c r="AS63" s="14"/>
      <c r="AT63" s="15">
        <f>SUM(AT64:AT64)</f>
        <v>0</v>
      </c>
      <c r="AU63" s="14"/>
      <c r="AV63" s="15">
        <f>SUM(AV64:AV64)</f>
        <v>0</v>
      </c>
      <c r="AX63" s="71">
        <f t="shared" si="4"/>
        <v>2</v>
      </c>
      <c r="AY63" s="15">
        <f t="shared" si="5"/>
        <v>1.8957345971563981</v>
      </c>
    </row>
    <row r="64" spans="1:53" x14ac:dyDescent="0.25">
      <c r="A64" s="7" t="s">
        <v>72</v>
      </c>
      <c r="B64" s="8" t="s">
        <v>73</v>
      </c>
      <c r="C64" s="26"/>
      <c r="D64" s="10"/>
      <c r="E64" s="26"/>
      <c r="F64" s="10"/>
      <c r="G64" s="26"/>
      <c r="H64" s="10"/>
      <c r="I64" s="26"/>
      <c r="J64" s="10">
        <v>2</v>
      </c>
      <c r="K64" s="76"/>
      <c r="L64" s="68"/>
      <c r="M64" s="26"/>
      <c r="N64" s="10"/>
      <c r="O64" s="26"/>
      <c r="P64" s="10"/>
      <c r="Q64" s="26"/>
      <c r="R64" s="10"/>
      <c r="S64" s="26"/>
      <c r="T64" s="10"/>
      <c r="U64" s="26"/>
      <c r="V64" s="10"/>
      <c r="W64" s="26"/>
      <c r="X64" s="10"/>
      <c r="Y64" s="26"/>
      <c r="Z64" s="10"/>
      <c r="AA64" s="26"/>
      <c r="AB64" s="10"/>
      <c r="AC64" s="26"/>
      <c r="AD64" s="10"/>
      <c r="AE64" s="26"/>
      <c r="AF64" s="10"/>
      <c r="AG64" s="26"/>
      <c r="AH64" s="10"/>
      <c r="AI64" s="26"/>
      <c r="AJ64" s="10"/>
      <c r="AK64" s="26"/>
      <c r="AL64" s="10"/>
      <c r="AM64" s="26"/>
      <c r="AN64" s="10"/>
      <c r="AO64" s="26"/>
      <c r="AP64" s="10"/>
      <c r="AQ64" s="26"/>
      <c r="AR64" s="10"/>
      <c r="AS64" s="26"/>
      <c r="AT64" s="10"/>
      <c r="AU64" s="26"/>
      <c r="AV64" s="10"/>
      <c r="AW64"/>
      <c r="AX64" s="77">
        <f t="shared" si="4"/>
        <v>2</v>
      </c>
      <c r="AY64" s="10">
        <f t="shared" si="5"/>
        <v>1.8957345971563981</v>
      </c>
    </row>
    <row r="65" spans="1:52" s="30" customFormat="1" x14ac:dyDescent="0.25">
      <c r="A65" s="138" t="s">
        <v>74</v>
      </c>
      <c r="B65" s="138"/>
      <c r="C65" s="28"/>
      <c r="D65" s="29">
        <f>D3+D33+D51+D60+D63</f>
        <v>241.20000000000005</v>
      </c>
      <c r="E65" s="28"/>
      <c r="F65" s="29">
        <f>F3+F33+F51+F60+F63</f>
        <v>257.61</v>
      </c>
      <c r="G65" s="28"/>
      <c r="H65" s="29">
        <f>H3+H33+H51+H60+H63</f>
        <v>340.72999999999996</v>
      </c>
      <c r="I65" s="28"/>
      <c r="J65" s="29">
        <f>J3+J33+J51+J60+J63</f>
        <v>210.35</v>
      </c>
      <c r="K65" s="29"/>
      <c r="L65" s="29">
        <f>L3+L33+L51+L60+L63</f>
        <v>160.52000000000001</v>
      </c>
      <c r="M65" s="28"/>
      <c r="N65" s="29">
        <f>N3+N33+N51+N60+N63</f>
        <v>254.4</v>
      </c>
      <c r="O65" s="28"/>
      <c r="P65" s="29">
        <f>P3+P33+P51+P60+P63</f>
        <v>149.54999999999998</v>
      </c>
      <c r="Q65" s="28"/>
      <c r="R65" s="29">
        <f>R3+R33+R51+R60+R63</f>
        <v>189.09999999999997</v>
      </c>
      <c r="S65" s="28"/>
      <c r="T65" s="29">
        <f>T3+T33+T51+T60+T63</f>
        <v>109.91000000000001</v>
      </c>
      <c r="U65" s="28"/>
      <c r="V65" s="29">
        <f>V3+V33+V51+V60+V63</f>
        <v>0</v>
      </c>
      <c r="W65" s="28"/>
      <c r="X65" s="29">
        <f>X3+X33+X51+X60+X63</f>
        <v>0</v>
      </c>
      <c r="Y65" s="28"/>
      <c r="Z65" s="29">
        <f>Z3+Z33+Z51+Z60+Z63</f>
        <v>0</v>
      </c>
      <c r="AA65" s="28"/>
      <c r="AB65" s="29">
        <f>AB3+AB33+AB51+AB60+AB63</f>
        <v>0</v>
      </c>
      <c r="AC65" s="28"/>
      <c r="AD65" s="29">
        <f>AD3+AD33+AD51+AD60+AD63</f>
        <v>0</v>
      </c>
      <c r="AE65" s="28"/>
      <c r="AF65" s="29">
        <f>AF3+AF33+AF51+AF60+AF63</f>
        <v>0</v>
      </c>
      <c r="AG65" s="28"/>
      <c r="AH65" s="29">
        <f>AH3+AH33+AH51+AH60+AH63</f>
        <v>0</v>
      </c>
      <c r="AI65" s="28"/>
      <c r="AJ65" s="29">
        <f>AJ3+AJ33+AJ51+AJ60+AJ63</f>
        <v>0</v>
      </c>
      <c r="AK65" s="28"/>
      <c r="AL65" s="29">
        <f>AL3+AL33+AL51+AL60+AL63</f>
        <v>0</v>
      </c>
      <c r="AM65" s="28"/>
      <c r="AN65" s="29">
        <f>AN3+AN33+AN51+AN60+AN63</f>
        <v>0</v>
      </c>
      <c r="AO65" s="28"/>
      <c r="AP65" s="29">
        <f>AP3+AP33+AP51+AP60+AP63</f>
        <v>0</v>
      </c>
      <c r="AQ65" s="28"/>
      <c r="AR65" s="29">
        <f>AR3+AR33+AR51+AR60+AR63</f>
        <v>0</v>
      </c>
      <c r="AS65" s="28"/>
      <c r="AT65" s="29">
        <f>AT3+AT33+AT51+AT60+AT63</f>
        <v>0</v>
      </c>
      <c r="AU65" s="28"/>
      <c r="AV65" s="29">
        <f>AV3+AV33+AV51+AV60+AV63</f>
        <v>0</v>
      </c>
      <c r="AW65" s="29"/>
      <c r="AX65" s="28">
        <f t="shared" si="4"/>
        <v>1913.3700000000001</v>
      </c>
      <c r="AY65" s="29">
        <f t="shared" si="5"/>
        <v>1813.6208530805688</v>
      </c>
    </row>
    <row r="66" spans="1:52" x14ac:dyDescent="0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Y66" s="78"/>
      <c r="AZ66" s="91"/>
    </row>
    <row r="67" spans="1:52" x14ac:dyDescent="0.25">
      <c r="A67" s="139" t="s">
        <v>75</v>
      </c>
      <c r="B67" s="33" t="s">
        <v>76</v>
      </c>
      <c r="C67" s="34"/>
      <c r="D67" s="35">
        <f>272-30.6</f>
        <v>241.4</v>
      </c>
      <c r="E67" s="34"/>
      <c r="F67" s="36">
        <v>257.5</v>
      </c>
      <c r="G67" s="34"/>
      <c r="H67" s="37">
        <v>340</v>
      </c>
      <c r="I67" s="34"/>
      <c r="J67" s="37">
        <v>210</v>
      </c>
      <c r="K67" s="36"/>
      <c r="L67" s="36">
        <v>160</v>
      </c>
      <c r="M67" s="34"/>
      <c r="N67" s="37">
        <v>254</v>
      </c>
      <c r="O67" s="34"/>
      <c r="P67" s="37">
        <v>150</v>
      </c>
      <c r="Q67" s="34"/>
      <c r="R67" s="36">
        <v>189.1</v>
      </c>
      <c r="S67" s="34"/>
      <c r="T67" s="37">
        <f>143-33.33</f>
        <v>109.67</v>
      </c>
      <c r="U67" s="34"/>
      <c r="V67" s="37"/>
      <c r="W67" s="34"/>
      <c r="X67" s="37"/>
      <c r="Y67" s="34"/>
      <c r="Z67" s="37"/>
      <c r="AA67" s="34"/>
      <c r="AB67" s="37"/>
      <c r="AC67" s="34"/>
      <c r="AD67" s="37"/>
      <c r="AE67" s="34"/>
      <c r="AF67" s="37"/>
      <c r="AG67" s="34"/>
      <c r="AH67" s="37"/>
      <c r="AI67" s="34"/>
      <c r="AJ67" s="37"/>
      <c r="AK67" s="34"/>
      <c r="AL67" s="37"/>
      <c r="AM67" s="34"/>
      <c r="AN67" s="37"/>
      <c r="AO67" s="34"/>
      <c r="AP67" s="37"/>
      <c r="AQ67" s="34"/>
      <c r="AR67" s="37"/>
      <c r="AS67" s="34"/>
      <c r="AT67" s="37"/>
      <c r="AU67" s="34"/>
      <c r="AV67" s="37"/>
      <c r="AW67" s="79"/>
      <c r="AX67" s="92">
        <f>SUM(D67,F67,H67,J67,L67,N67,P67,R67,T67,V67,X67,Z67,AB67,AD67,AF67,AH67,AJ67,AL67,AN67,AP67,AR67,AT67,AV67)</f>
        <v>1911.67</v>
      </c>
      <c r="AY67" s="37">
        <f>AX67/1.055</f>
        <v>1812.009478672986</v>
      </c>
    </row>
    <row r="68" spans="1:52" x14ac:dyDescent="0.25">
      <c r="A68" s="139"/>
      <c r="B68" s="38" t="s">
        <v>77</v>
      </c>
      <c r="C68" s="39"/>
      <c r="D68" s="40"/>
      <c r="E68" s="39"/>
      <c r="F68" s="41"/>
      <c r="G68" s="39"/>
      <c r="H68" s="42"/>
      <c r="I68" s="39"/>
      <c r="J68" s="42"/>
      <c r="K68" s="88"/>
      <c r="L68" s="41"/>
      <c r="M68" s="39"/>
      <c r="N68" s="42"/>
      <c r="O68" s="39"/>
      <c r="P68" s="42"/>
      <c r="Q68" s="43"/>
      <c r="R68" s="41"/>
      <c r="S68" s="39"/>
      <c r="T68" s="42"/>
      <c r="U68" s="39"/>
      <c r="V68" s="42"/>
      <c r="W68" s="39"/>
      <c r="X68" s="42"/>
      <c r="Y68" s="39"/>
      <c r="Z68" s="42"/>
      <c r="AA68" s="39"/>
      <c r="AB68" s="42"/>
      <c r="AC68" s="39"/>
      <c r="AD68" s="42"/>
      <c r="AE68" s="39"/>
      <c r="AF68" s="42"/>
      <c r="AG68" s="39"/>
      <c r="AH68" s="42"/>
      <c r="AI68" s="39"/>
      <c r="AJ68" s="42"/>
      <c r="AK68" s="39"/>
      <c r="AL68" s="42"/>
      <c r="AM68" s="39"/>
      <c r="AN68" s="42"/>
      <c r="AO68" s="39"/>
      <c r="AP68" s="42"/>
      <c r="AQ68" s="39"/>
      <c r="AR68" s="42"/>
      <c r="AS68" s="39"/>
      <c r="AT68" s="42"/>
      <c r="AU68" s="39"/>
      <c r="AV68" s="42"/>
      <c r="AW68" s="80">
        <f>SUM(C68,E68,G68,I68,K68,M68,O68,Q68,S68,U68,W68,Y68,AA68,AC68,AE68,AG68,AI68,AK68,AM68,AO68,AQ68,AS68,AU68)</f>
        <v>0</v>
      </c>
      <c r="AX68" s="93">
        <f>SUM(D68,F68,H68,J68,L68,N68,P68,R68,T68,V68,X68,Z68,AB68,AD68,AF68,AH68,AJ68,AL68,AN68,AP68,AR68,AT68,AV68)</f>
        <v>0</v>
      </c>
      <c r="AY68" s="42">
        <f>AX68/1.055</f>
        <v>0</v>
      </c>
    </row>
    <row r="69" spans="1:52" x14ac:dyDescent="0.25">
      <c r="A69" s="139"/>
      <c r="B69" s="38" t="s">
        <v>157</v>
      </c>
      <c r="C69" s="43"/>
      <c r="D69" s="40"/>
      <c r="E69" s="43"/>
      <c r="F69" s="41"/>
      <c r="G69" s="43"/>
      <c r="H69" s="42"/>
      <c r="I69" s="43"/>
      <c r="J69" s="42"/>
      <c r="K69" s="41"/>
      <c r="L69" s="41"/>
      <c r="M69" s="43"/>
      <c r="N69" s="42"/>
      <c r="O69" s="43"/>
      <c r="P69" s="42"/>
      <c r="Q69" s="43"/>
      <c r="R69" s="41"/>
      <c r="S69" s="43"/>
      <c r="T69" s="42"/>
      <c r="U69" s="43"/>
      <c r="V69" s="42"/>
      <c r="W69" s="43"/>
      <c r="X69" s="42"/>
      <c r="Y69" s="43"/>
      <c r="Z69" s="42"/>
      <c r="AA69" s="43"/>
      <c r="AB69" s="42"/>
      <c r="AC69" s="43"/>
      <c r="AD69" s="42"/>
      <c r="AE69" s="43"/>
      <c r="AF69" s="42"/>
      <c r="AG69" s="43"/>
      <c r="AH69" s="42"/>
      <c r="AI69" s="43"/>
      <c r="AJ69" s="42"/>
      <c r="AK69" s="43"/>
      <c r="AL69" s="42"/>
      <c r="AM69" s="43"/>
      <c r="AN69" s="42"/>
      <c r="AO69" s="43"/>
      <c r="AP69" s="42"/>
      <c r="AQ69" s="43"/>
      <c r="AR69" s="42"/>
      <c r="AS69" s="43"/>
      <c r="AT69" s="42"/>
      <c r="AU69" s="43"/>
      <c r="AV69" s="42"/>
      <c r="AW69" s="81"/>
      <c r="AX69" s="94"/>
      <c r="AY69" s="42"/>
    </row>
    <row r="70" spans="1:52" s="51" customFormat="1" x14ac:dyDescent="0.25">
      <c r="A70" s="139"/>
      <c r="B70" s="44" t="s">
        <v>78</v>
      </c>
      <c r="C70" s="45"/>
      <c r="D70" s="46">
        <f>SUM(D67:D69)</f>
        <v>241.4</v>
      </c>
      <c r="E70" s="45"/>
      <c r="F70" s="47">
        <f>SUM(F67:F69)</f>
        <v>257.5</v>
      </c>
      <c r="G70" s="45"/>
      <c r="H70" s="48">
        <f>SUM(H67:H69)</f>
        <v>340</v>
      </c>
      <c r="I70" s="45"/>
      <c r="J70" s="48">
        <f>SUM(J67:J69)</f>
        <v>210</v>
      </c>
      <c r="K70" s="47"/>
      <c r="L70" s="47">
        <f>SUM(L67:L69)</f>
        <v>160</v>
      </c>
      <c r="M70" s="45"/>
      <c r="N70" s="48">
        <f>SUM(N67:N69)</f>
        <v>254</v>
      </c>
      <c r="O70" s="45"/>
      <c r="P70" s="48">
        <f>SUM(P67:P69)</f>
        <v>150</v>
      </c>
      <c r="Q70" s="45"/>
      <c r="R70" s="47">
        <f>SUM(R67:R69)</f>
        <v>189.1</v>
      </c>
      <c r="S70" s="45"/>
      <c r="T70" s="48">
        <f>SUM(T67:T69)</f>
        <v>109.67</v>
      </c>
      <c r="U70" s="45"/>
      <c r="V70" s="48">
        <f>SUM(V67:V69)</f>
        <v>0</v>
      </c>
      <c r="W70" s="45"/>
      <c r="X70" s="48">
        <f>SUM(X67:X69)</f>
        <v>0</v>
      </c>
      <c r="Y70" s="45"/>
      <c r="Z70" s="48">
        <f>SUM(Z67:Z69)</f>
        <v>0</v>
      </c>
      <c r="AA70" s="45"/>
      <c r="AB70" s="48">
        <f>SUM(AB67:AB69)</f>
        <v>0</v>
      </c>
      <c r="AC70" s="45"/>
      <c r="AD70" s="48">
        <f>SUM(AD67:AD69)</f>
        <v>0</v>
      </c>
      <c r="AE70" s="45"/>
      <c r="AF70" s="48">
        <f>SUM(AF67:AF69)</f>
        <v>0</v>
      </c>
      <c r="AG70" s="45"/>
      <c r="AH70" s="48">
        <f>SUM(AH67:AH69)</f>
        <v>0</v>
      </c>
      <c r="AI70" s="45"/>
      <c r="AJ70" s="48">
        <f>SUM(AJ67:AJ69)</f>
        <v>0</v>
      </c>
      <c r="AK70" s="45"/>
      <c r="AL70" s="48">
        <f>SUM(AL67:AL69)</f>
        <v>0</v>
      </c>
      <c r="AM70" s="45"/>
      <c r="AN70" s="48">
        <f>SUM(AN67:AN69)</f>
        <v>0</v>
      </c>
      <c r="AO70" s="45"/>
      <c r="AP70" s="48">
        <f>SUM(AP67:AP69)</f>
        <v>0</v>
      </c>
      <c r="AQ70" s="45"/>
      <c r="AR70" s="48">
        <f>SUM(AR67:AR69)</f>
        <v>0</v>
      </c>
      <c r="AS70" s="45"/>
      <c r="AT70" s="48">
        <f>SUM(AT67:AT69)</f>
        <v>0</v>
      </c>
      <c r="AU70" s="45"/>
      <c r="AV70" s="48">
        <f>SUM(AV67:AV69)</f>
        <v>0</v>
      </c>
      <c r="AW70" s="82"/>
      <c r="AX70" s="95">
        <f>SUM(AX67:AX69)</f>
        <v>1911.67</v>
      </c>
      <c r="AY70" s="48">
        <f>SUM(AY67:AY69)</f>
        <v>1812.009478672986</v>
      </c>
    </row>
    <row r="71" spans="1:52" ht="15" customHeight="1" x14ac:dyDescent="0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83"/>
      <c r="N71" s="83"/>
      <c r="O71" s="147"/>
      <c r="P71" s="147"/>
      <c r="Q71" s="83"/>
      <c r="R71" s="83"/>
      <c r="S71" s="83"/>
      <c r="T71" s="83"/>
      <c r="U71" s="83"/>
      <c r="V71" s="83"/>
      <c r="W71" s="32"/>
      <c r="X71" s="32"/>
      <c r="Y71" s="32"/>
      <c r="Z71" s="32"/>
      <c r="AA71" s="32"/>
      <c r="AB71" s="32"/>
      <c r="AC71" s="32"/>
      <c r="AD71" s="32"/>
      <c r="AE71" s="66"/>
      <c r="AF71" s="66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</sheetData>
  <mergeCells count="28">
    <mergeCell ref="A65:B65"/>
    <mergeCell ref="A67:A70"/>
    <mergeCell ref="O71:P71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FFFFFF"/>
  </sheetPr>
  <dimension ref="A1:BA72"/>
  <sheetViews>
    <sheetView windowProtection="1" zoomScaleNormal="100" workbookViewId="0">
      <pane xSplit="2" ySplit="2" topLeftCell="D3" activePane="bottomRight" state="frozen"/>
      <selection pane="topRight" activeCell="AG1" sqref="AG1"/>
      <selection pane="bottomLeft" activeCell="A3" sqref="A3"/>
      <selection pane="bottomRight" activeCell="A3" sqref="A3:A50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.85546875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710937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205</v>
      </c>
      <c r="D1" s="136"/>
      <c r="E1" s="136" t="s">
        <v>206</v>
      </c>
      <c r="F1" s="136"/>
      <c r="G1" s="136" t="s">
        <v>207</v>
      </c>
      <c r="H1" s="136"/>
      <c r="I1" s="136"/>
      <c r="J1" s="136"/>
      <c r="K1" s="145"/>
      <c r="L1" s="145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SUM(D4:D32)</f>
        <v>46.989999999999995</v>
      </c>
      <c r="E3" s="14"/>
      <c r="F3" s="15">
        <f>SUM(F4:F32)</f>
        <v>43.269999999999996</v>
      </c>
      <c r="G3" s="14"/>
      <c r="H3" s="15">
        <f>SUM(H4:H32)</f>
        <v>54.89</v>
      </c>
      <c r="I3" s="14"/>
      <c r="J3" s="15">
        <f>SUM(J4:J32)</f>
        <v>0</v>
      </c>
      <c r="K3" s="70"/>
      <c r="L3" s="70">
        <f>SUM(L4:L32)</f>
        <v>0</v>
      </c>
      <c r="M3" s="14"/>
      <c r="N3" s="15">
        <f>SUM(N4:N32)</f>
        <v>0</v>
      </c>
      <c r="O3" s="14"/>
      <c r="P3" s="15">
        <f>SUM(P4:P32)</f>
        <v>0</v>
      </c>
      <c r="Q3" s="14"/>
      <c r="R3" s="15">
        <f>SUM(R4:R32)</f>
        <v>0</v>
      </c>
      <c r="S3" s="14"/>
      <c r="T3" s="15">
        <f>SUM(T4:T32)</f>
        <v>0</v>
      </c>
      <c r="U3" s="14"/>
      <c r="V3" s="15">
        <f>SUM(V4:V32)</f>
        <v>0</v>
      </c>
      <c r="W3" s="14"/>
      <c r="X3" s="15">
        <f>SUM(X4:X32)</f>
        <v>0</v>
      </c>
      <c r="Y3" s="14"/>
      <c r="Z3" s="15">
        <f>SUM(Z4:Z32)</f>
        <v>0</v>
      </c>
      <c r="AA3" s="14"/>
      <c r="AB3" s="15">
        <f>SUM(AB4:AB32)</f>
        <v>0</v>
      </c>
      <c r="AC3" s="14"/>
      <c r="AD3" s="15">
        <f>SUM(AD4:AD32)</f>
        <v>0</v>
      </c>
      <c r="AE3" s="14"/>
      <c r="AF3" s="15">
        <f>SUM(AF4:AF32)</f>
        <v>0</v>
      </c>
      <c r="AG3" s="14"/>
      <c r="AH3" s="15">
        <f>SUM(AH4:AH32)</f>
        <v>0</v>
      </c>
      <c r="AI3" s="14"/>
      <c r="AJ3" s="15">
        <f>SUM(AJ4:AJ32)</f>
        <v>0</v>
      </c>
      <c r="AK3" s="14"/>
      <c r="AL3" s="15">
        <f>SUM(AL4:AL32)</f>
        <v>0</v>
      </c>
      <c r="AM3" s="14"/>
      <c r="AN3" s="15">
        <f>SUM(AN4:AN32)</f>
        <v>0</v>
      </c>
      <c r="AO3" s="14"/>
      <c r="AP3" s="15">
        <f>SUM(AP4:AP32)</f>
        <v>0</v>
      </c>
      <c r="AQ3" s="14"/>
      <c r="AR3" s="15">
        <f>SUM(AR4:AR32)</f>
        <v>0</v>
      </c>
      <c r="AS3" s="14"/>
      <c r="AT3" s="15">
        <f>SUM(AT4:AT32)</f>
        <v>0</v>
      </c>
      <c r="AU3" s="14"/>
      <c r="AV3" s="15">
        <f>SUM(AV4:AV32)</f>
        <v>0</v>
      </c>
      <c r="AX3" s="84">
        <f t="shared" ref="AX3:AX34" si="0">SUM(AV3,AT3,AR3,AP3,AN3,AL3,AJ3,AH3,AF3,AD3,AB3,Z3,X3,V3,T3,R3,P3,N3,L3,J3,H3,F3,D3)</f>
        <v>145.14999999999998</v>
      </c>
      <c r="AY3" s="15">
        <f t="shared" ref="AY3:AY34" si="1">AX3/1.055</f>
        <v>137.58293838862559</v>
      </c>
    </row>
    <row r="4" spans="1:51" x14ac:dyDescent="0.25">
      <c r="A4" s="19" t="s">
        <v>25</v>
      </c>
      <c r="B4" s="20" t="s">
        <v>26</v>
      </c>
      <c r="C4" s="21"/>
      <c r="D4"/>
      <c r="E4" s="21"/>
      <c r="F4" s="22"/>
      <c r="G4" s="21"/>
      <c r="H4" s="22"/>
      <c r="I4" s="21"/>
      <c r="J4" s="22"/>
      <c r="K4" s="72"/>
      <c r="L4" s="73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0</v>
      </c>
      <c r="AY4" s="22">
        <f t="shared" si="1"/>
        <v>0</v>
      </c>
    </row>
    <row r="5" spans="1:51" x14ac:dyDescent="0.25">
      <c r="A5" s="19" t="s">
        <v>27</v>
      </c>
      <c r="B5" s="20" t="s">
        <v>26</v>
      </c>
      <c r="C5" s="21"/>
      <c r="D5" s="22"/>
      <c r="E5" s="21"/>
      <c r="F5" s="22"/>
      <c r="G5" s="21"/>
      <c r="H5" s="22"/>
      <c r="I5" s="21"/>
      <c r="J5" s="22"/>
      <c r="K5" s="72"/>
      <c r="L5" s="73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0</v>
      </c>
      <c r="AY5" s="22">
        <f t="shared" si="1"/>
        <v>0</v>
      </c>
    </row>
    <row r="6" spans="1:51" x14ac:dyDescent="0.25">
      <c r="A6" s="19" t="s">
        <v>28</v>
      </c>
      <c r="B6" s="20" t="s">
        <v>26</v>
      </c>
      <c r="C6" s="21"/>
      <c r="D6" s="22"/>
      <c r="E6" s="21"/>
      <c r="F6" s="22"/>
      <c r="G6" s="21"/>
      <c r="H6" s="22"/>
      <c r="I6" s="21"/>
      <c r="J6" s="22"/>
      <c r="K6" s="72"/>
      <c r="L6" s="73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4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0</v>
      </c>
      <c r="AY6" s="22">
        <f t="shared" si="1"/>
        <v>0</v>
      </c>
    </row>
    <row r="7" spans="1:51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85"/>
      <c r="L7" s="73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0</v>
      </c>
      <c r="AY7" s="22">
        <f t="shared" si="1"/>
        <v>0</v>
      </c>
    </row>
    <row r="8" spans="1:51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104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31</v>
      </c>
      <c r="B10" s="20" t="s">
        <v>26</v>
      </c>
      <c r="C10" s="21"/>
      <c r="D10" s="22"/>
      <c r="E10" s="21"/>
      <c r="F10" s="22"/>
      <c r="G10" s="21"/>
      <c r="H10" s="22"/>
      <c r="I10" s="21"/>
      <c r="J10" s="22"/>
      <c r="K10" s="72"/>
      <c r="L10" s="73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0</v>
      </c>
      <c r="AY10" s="22">
        <f t="shared" si="1"/>
        <v>0</v>
      </c>
    </row>
    <row r="11" spans="1:51" x14ac:dyDescent="0.25">
      <c r="A11" s="19" t="s">
        <v>103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85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0</v>
      </c>
      <c r="AY11" s="22">
        <f t="shared" si="1"/>
        <v>0</v>
      </c>
    </row>
    <row r="12" spans="1:51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5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0</v>
      </c>
      <c r="AY12" s="22">
        <f t="shared" si="1"/>
        <v>0</v>
      </c>
    </row>
    <row r="13" spans="1:51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5"/>
      <c r="R13" s="22"/>
      <c r="S13" s="21"/>
      <c r="T13" s="22"/>
      <c r="U13" s="25"/>
      <c r="V13" s="22"/>
      <c r="W13" s="21"/>
      <c r="X13" s="22"/>
      <c r="Y13" s="21"/>
      <c r="Z13" s="22"/>
      <c r="AA13" s="25"/>
      <c r="AB13" s="22"/>
      <c r="AC13" s="21"/>
      <c r="AD13" s="22"/>
      <c r="AE13" s="21"/>
      <c r="AF13" s="22"/>
      <c r="AG13" s="25"/>
      <c r="AH13" s="22"/>
      <c r="AI13" s="21"/>
      <c r="AJ13" s="22"/>
      <c r="AK13" s="25"/>
      <c r="AL13" s="22"/>
      <c r="AM13" s="21"/>
      <c r="AN13" s="22"/>
      <c r="AO13" s="25"/>
      <c r="AP13" s="22"/>
      <c r="AQ13" s="21"/>
      <c r="AR13" s="22"/>
      <c r="AS13" s="21"/>
      <c r="AT13" s="22"/>
      <c r="AU13" s="25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85"/>
      <c r="L14" s="73"/>
      <c r="M14" s="21"/>
      <c r="N14" s="22"/>
      <c r="O14" s="21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33</v>
      </c>
      <c r="B15" s="20" t="s">
        <v>34</v>
      </c>
      <c r="C15" s="25"/>
      <c r="D15" s="22"/>
      <c r="E15" s="25"/>
      <c r="F15" s="22"/>
      <c r="G15" s="25"/>
      <c r="H15" s="22"/>
      <c r="I15" s="25"/>
      <c r="J15" s="22"/>
      <c r="K15" s="85"/>
      <c r="L15" s="73"/>
      <c r="M15" s="25"/>
      <c r="N15" s="22"/>
      <c r="O15" s="25"/>
      <c r="P15" s="22"/>
      <c r="Q15" s="25"/>
      <c r="R15" s="22"/>
      <c r="S15" s="25"/>
      <c r="T15" s="22"/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5"/>
      <c r="AN15" s="22"/>
      <c r="AO15" s="25"/>
      <c r="AP15" s="22"/>
      <c r="AQ15" s="25"/>
      <c r="AR15" s="22"/>
      <c r="AS15" s="25"/>
      <c r="AT15" s="22"/>
      <c r="AU15" s="25"/>
      <c r="AV15" s="22"/>
      <c r="AW15"/>
      <c r="AX15" s="74">
        <f t="shared" si="0"/>
        <v>0</v>
      </c>
      <c r="AY15" s="22">
        <f t="shared" si="1"/>
        <v>0</v>
      </c>
    </row>
    <row r="16" spans="1:51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1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37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0</v>
      </c>
      <c r="AY18" s="22">
        <f t="shared" si="1"/>
        <v>0</v>
      </c>
    </row>
    <row r="19" spans="1:51" x14ac:dyDescent="0.25">
      <c r="A19" s="19" t="s">
        <v>38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0</v>
      </c>
      <c r="AY19" s="22">
        <f t="shared" si="1"/>
        <v>0</v>
      </c>
    </row>
    <row r="20" spans="1:51" x14ac:dyDescent="0.25">
      <c r="A20" s="19" t="s">
        <v>39</v>
      </c>
      <c r="B20" s="20" t="s">
        <v>34</v>
      </c>
      <c r="C20"/>
      <c r="D20" s="22"/>
      <c r="E20"/>
      <c r="F20" s="22"/>
      <c r="G20"/>
      <c r="H20" s="22"/>
      <c r="I20"/>
      <c r="J20" s="22"/>
      <c r="K20" s="85"/>
      <c r="L20" s="22"/>
      <c r="M20"/>
      <c r="N20" s="22"/>
      <c r="O20"/>
      <c r="P20" s="22"/>
      <c r="Q20"/>
      <c r="R20" s="22"/>
      <c r="S20"/>
      <c r="T20" s="22"/>
      <c r="U20"/>
      <c r="V20" s="22"/>
      <c r="W20"/>
      <c r="X20" s="22"/>
      <c r="Y20"/>
      <c r="Z20" s="22"/>
      <c r="AA20"/>
      <c r="AB20" s="22"/>
      <c r="AC20"/>
      <c r="AD20" s="22"/>
      <c r="AE20"/>
      <c r="AF20" s="22"/>
      <c r="AG20"/>
      <c r="AH20" s="22"/>
      <c r="AI20"/>
      <c r="AJ20" s="22"/>
      <c r="AK20"/>
      <c r="AL20" s="22"/>
      <c r="AM20"/>
      <c r="AN20" s="22"/>
      <c r="AO20"/>
      <c r="AP20" s="22"/>
      <c r="AQ20"/>
      <c r="AR20" s="22"/>
      <c r="AS20"/>
      <c r="AT20" s="22"/>
      <c r="AU20"/>
      <c r="AV20" s="22"/>
      <c r="AW20"/>
      <c r="AX20" s="74">
        <f t="shared" si="0"/>
        <v>0</v>
      </c>
      <c r="AY20" s="22">
        <f t="shared" si="1"/>
        <v>0</v>
      </c>
    </row>
    <row r="21" spans="1:51" x14ac:dyDescent="0.25">
      <c r="A21" s="19" t="s">
        <v>40</v>
      </c>
      <c r="B21" s="20" t="s">
        <v>34</v>
      </c>
      <c r="C21" s="25"/>
      <c r="D21" s="22"/>
      <c r="E21" s="25"/>
      <c r="F21" s="22"/>
      <c r="G21" s="25"/>
      <c r="H21" s="22"/>
      <c r="I21" s="25"/>
      <c r="J21" s="22"/>
      <c r="K21" s="85"/>
      <c r="L21" s="73"/>
      <c r="M21" s="25"/>
      <c r="N21" s="22"/>
      <c r="O21" s="25"/>
      <c r="P21" s="22"/>
      <c r="Q21" s="25"/>
      <c r="R21" s="22"/>
      <c r="S21" s="25"/>
      <c r="T21" s="22"/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25"/>
      <c r="AP21" s="22"/>
      <c r="AQ21" s="25"/>
      <c r="AR21" s="22"/>
      <c r="AS21" s="25"/>
      <c r="AT21" s="22"/>
      <c r="AU21" s="25"/>
      <c r="AV21" s="22"/>
      <c r="AW21"/>
      <c r="AX21" s="74">
        <f t="shared" si="0"/>
        <v>0</v>
      </c>
      <c r="AY21" s="22">
        <f t="shared" si="1"/>
        <v>0</v>
      </c>
    </row>
    <row r="22" spans="1:51" x14ac:dyDescent="0.25">
      <c r="A22" s="19" t="s">
        <v>30</v>
      </c>
      <c r="B22" s="20" t="s">
        <v>26</v>
      </c>
      <c r="C22" s="21"/>
      <c r="D22" s="22"/>
      <c r="E22" s="21"/>
      <c r="F22" s="22"/>
      <c r="G22" s="21"/>
      <c r="H22" s="22"/>
      <c r="I22" s="21"/>
      <c r="J22" s="22"/>
      <c r="K22" s="72"/>
      <c r="L22" s="73"/>
      <c r="M22" s="21"/>
      <c r="N22" s="22"/>
      <c r="O22" s="21"/>
      <c r="P22" s="22"/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2"/>
      <c r="AO22" s="21"/>
      <c r="AP22" s="22"/>
      <c r="AQ22" s="21"/>
      <c r="AR22" s="22"/>
      <c r="AS22" s="21"/>
      <c r="AT22" s="22"/>
      <c r="AU22" s="21"/>
      <c r="AV22" s="22"/>
      <c r="AW22"/>
      <c r="AX22" s="74">
        <f t="shared" si="0"/>
        <v>0</v>
      </c>
      <c r="AY22" s="22">
        <f t="shared" si="1"/>
        <v>0</v>
      </c>
    </row>
    <row r="23" spans="1:51" x14ac:dyDescent="0.25">
      <c r="A23" s="19" t="s">
        <v>105</v>
      </c>
      <c r="B23" s="20" t="s">
        <v>26</v>
      </c>
      <c r="C23" s="21"/>
      <c r="D23" s="22"/>
      <c r="E23" s="21"/>
      <c r="F23" s="22"/>
      <c r="G23" s="21"/>
      <c r="H23" s="22"/>
      <c r="I23" s="21"/>
      <c r="J23" s="22"/>
      <c r="K23" s="85"/>
      <c r="L23" s="73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0</v>
      </c>
      <c r="AY23" s="22">
        <f t="shared" si="1"/>
        <v>0</v>
      </c>
    </row>
    <row r="24" spans="1:51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85"/>
      <c r="L24" s="73"/>
      <c r="M24" s="25"/>
      <c r="N24" s="22"/>
      <c r="O24" s="25"/>
      <c r="P24" s="22"/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U24" s="25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42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/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0</v>
      </c>
      <c r="AY25" s="22">
        <f t="shared" si="1"/>
        <v>0</v>
      </c>
    </row>
    <row r="26" spans="1:51" x14ac:dyDescent="0.25">
      <c r="A26" s="19" t="s">
        <v>43</v>
      </c>
      <c r="B26" s="20" t="s">
        <v>34</v>
      </c>
      <c r="C26" s="25"/>
      <c r="D26" s="22">
        <v>25.61</v>
      </c>
      <c r="E26" s="25"/>
      <c r="F26" s="22">
        <v>19.27</v>
      </c>
      <c r="G26" s="25"/>
      <c r="H26" s="22">
        <v>32.44</v>
      </c>
      <c r="I26" s="25"/>
      <c r="J26" s="22"/>
      <c r="K26" s="85"/>
      <c r="L26" s="73"/>
      <c r="M26" s="25"/>
      <c r="N26" s="22"/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77.319999999999993</v>
      </c>
      <c r="AY26" s="22">
        <f t="shared" si="1"/>
        <v>73.289099526066352</v>
      </c>
    </row>
    <row r="27" spans="1:5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179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180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191</v>
      </c>
      <c r="B30" s="20" t="s">
        <v>34</v>
      </c>
      <c r="C30" s="25"/>
      <c r="D30" s="22">
        <v>21.38</v>
      </c>
      <c r="E30" s="25"/>
      <c r="F30" s="22">
        <v>24</v>
      </c>
      <c r="G30" s="25"/>
      <c r="H30" s="22">
        <v>22.45</v>
      </c>
      <c r="I30" s="25"/>
      <c r="J30" s="22"/>
      <c r="K30" s="85"/>
      <c r="L30" s="73"/>
      <c r="M30" s="25"/>
      <c r="N30" s="22"/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67.83</v>
      </c>
      <c r="AY30" s="22">
        <f t="shared" si="1"/>
        <v>64.293838862559241</v>
      </c>
    </row>
    <row r="31" spans="1:51" x14ac:dyDescent="0.25">
      <c r="A31" s="19" t="s">
        <v>201</v>
      </c>
      <c r="B31" s="20" t="s">
        <v>26</v>
      </c>
      <c r="C31" s="25"/>
      <c r="D31" s="22"/>
      <c r="E31" s="25"/>
      <c r="F31" s="22"/>
      <c r="G31" s="21"/>
      <c r="H31" s="22"/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1" x14ac:dyDescent="0.25">
      <c r="A32" s="19" t="s">
        <v>202</v>
      </c>
      <c r="B32" s="20" t="s">
        <v>34</v>
      </c>
      <c r="C32" s="25"/>
      <c r="D32" s="22"/>
      <c r="E32" s="25"/>
      <c r="F32" s="22"/>
      <c r="G32" s="25"/>
      <c r="H32" s="22"/>
      <c r="I32" s="25"/>
      <c r="J32" s="22"/>
      <c r="K32" s="85"/>
      <c r="L32" s="73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0</v>
      </c>
      <c r="AY32" s="22">
        <f t="shared" si="1"/>
        <v>0</v>
      </c>
    </row>
    <row r="33" spans="1:51" s="18" customFormat="1" x14ac:dyDescent="0.25">
      <c r="A33" s="12" t="s">
        <v>46</v>
      </c>
      <c r="B33" s="13"/>
      <c r="C33" s="14"/>
      <c r="D33" s="15">
        <f>SUM(D34:D51)</f>
        <v>54.13</v>
      </c>
      <c r="E33" s="14"/>
      <c r="F33" s="15">
        <f>SUM(F34:F51)</f>
        <v>30</v>
      </c>
      <c r="G33" s="14"/>
      <c r="H33" s="15">
        <f>SUM(H34:H51)</f>
        <v>66.03</v>
      </c>
      <c r="I33" s="14"/>
      <c r="J33" s="15">
        <f>SUM(J34:J51)</f>
        <v>0</v>
      </c>
      <c r="K33" s="70"/>
      <c r="L33" s="70">
        <f>SUM(L34:L51)</f>
        <v>0</v>
      </c>
      <c r="M33" s="14"/>
      <c r="N33" s="15">
        <f>SUM(N34:N51)</f>
        <v>0</v>
      </c>
      <c r="O33" s="14"/>
      <c r="P33" s="15">
        <f>SUM(P34:P51)</f>
        <v>0</v>
      </c>
      <c r="Q33" s="14"/>
      <c r="R33" s="15">
        <f>SUM(R34:R51)</f>
        <v>0</v>
      </c>
      <c r="S33" s="14"/>
      <c r="T33" s="15">
        <f>SUM(T34:T51)</f>
        <v>0</v>
      </c>
      <c r="U33" s="14"/>
      <c r="V33" s="15">
        <f>SUM(V34:V51)</f>
        <v>0</v>
      </c>
      <c r="W33" s="14"/>
      <c r="X33" s="15">
        <f>SUM(X34:X51)</f>
        <v>0</v>
      </c>
      <c r="Y33" s="14"/>
      <c r="Z33" s="15">
        <f>SUM(Z34:Z51)</f>
        <v>0</v>
      </c>
      <c r="AA33" s="14"/>
      <c r="AB33" s="15">
        <f>SUM(AB34:AB51)</f>
        <v>0</v>
      </c>
      <c r="AC33" s="14"/>
      <c r="AD33" s="15">
        <f>SUM(AD34:AD51)</f>
        <v>0</v>
      </c>
      <c r="AE33" s="14"/>
      <c r="AF33" s="15">
        <f>SUM(AF34:AF51)</f>
        <v>0</v>
      </c>
      <c r="AG33" s="14"/>
      <c r="AH33" s="15">
        <f>SUM(AH34:AH51)</f>
        <v>0</v>
      </c>
      <c r="AI33" s="14"/>
      <c r="AJ33" s="15">
        <f>SUM(AJ34:AJ51)</f>
        <v>0</v>
      </c>
      <c r="AK33" s="14"/>
      <c r="AL33" s="15">
        <f>SUM(AL34:AL51)</f>
        <v>0</v>
      </c>
      <c r="AM33" s="14"/>
      <c r="AN33" s="15">
        <f>SUM(AN34:AN51)</f>
        <v>0</v>
      </c>
      <c r="AO33" s="14"/>
      <c r="AP33" s="15">
        <f>SUM(AP34:AP51)</f>
        <v>0</v>
      </c>
      <c r="AQ33" s="14"/>
      <c r="AR33" s="15">
        <f>SUM(AR34:AR51)</f>
        <v>0</v>
      </c>
      <c r="AS33" s="14"/>
      <c r="AT33" s="15">
        <f>SUM(AT34:AT51)</f>
        <v>0</v>
      </c>
      <c r="AU33" s="14"/>
      <c r="AV33" s="15">
        <f>SUM(AV34:AV51)</f>
        <v>0</v>
      </c>
      <c r="AX33" s="71">
        <f t="shared" si="0"/>
        <v>150.16</v>
      </c>
      <c r="AY33" s="15">
        <f t="shared" si="1"/>
        <v>142.33175355450237</v>
      </c>
    </row>
    <row r="34" spans="1:51" x14ac:dyDescent="0.25">
      <c r="A34" s="19" t="s">
        <v>47</v>
      </c>
      <c r="B34" s="20" t="s">
        <v>34</v>
      </c>
      <c r="C34" s="25"/>
      <c r="D34" s="22"/>
      <c r="E34" s="25"/>
      <c r="F34" s="22"/>
      <c r="G34" s="25"/>
      <c r="H34" s="22"/>
      <c r="I34" s="25"/>
      <c r="J34" s="22"/>
      <c r="K34" s="25"/>
      <c r="L34" s="73"/>
      <c r="M34" s="25"/>
      <c r="N34" s="22"/>
      <c r="O34" s="25"/>
      <c r="P34" s="22"/>
      <c r="Q34" s="25"/>
      <c r="R34" s="22"/>
      <c r="S34" s="21"/>
      <c r="T34" s="22"/>
      <c r="U34" s="25"/>
      <c r="V34" s="22"/>
      <c r="W34" s="25"/>
      <c r="X34" s="22"/>
      <c r="Y34" s="25"/>
      <c r="Z34" s="22"/>
      <c r="AA34" s="21"/>
      <c r="AB34" s="22"/>
      <c r="AC34" s="25"/>
      <c r="AD34" s="22"/>
      <c r="AE34" s="25"/>
      <c r="AF34" s="22"/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si="0"/>
        <v>0</v>
      </c>
      <c r="AY34" s="22">
        <f t="shared" si="1"/>
        <v>0</v>
      </c>
    </row>
    <row r="35" spans="1:51" x14ac:dyDescent="0.25">
      <c r="A35" s="19" t="s">
        <v>48</v>
      </c>
      <c r="B35" s="20" t="s">
        <v>34</v>
      </c>
      <c r="C35" s="25"/>
      <c r="D35" s="22">
        <f>19.14+10</f>
        <v>29.14</v>
      </c>
      <c r="E35" s="25"/>
      <c r="F35" s="22">
        <v>11.54</v>
      </c>
      <c r="G35" s="25"/>
      <c r="H35" s="22">
        <v>20.81</v>
      </c>
      <c r="I35" s="25"/>
      <c r="J35" s="22"/>
      <c r="K35" s="25"/>
      <c r="L35" s="73"/>
      <c r="M35" s="25"/>
      <c r="N35" s="22"/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ref="AX35:AX66" si="2">SUM(AV35,AT35,AR35,AP35,AN35,AL35,AJ35,AH35,AF35,AD35,AB35,Z35,X35,V35,T35,R35,P35,N35,L35,J35,H35,F35,D35)</f>
        <v>61.489999999999995</v>
      </c>
      <c r="AY35" s="22">
        <f t="shared" ref="AY35:AY66" si="3">AX35/1.055</f>
        <v>58.284360189573455</v>
      </c>
    </row>
    <row r="36" spans="1:51" x14ac:dyDescent="0.25">
      <c r="A36" s="19" t="s">
        <v>49</v>
      </c>
      <c r="B36" s="20" t="s">
        <v>34</v>
      </c>
      <c r="C36" s="25"/>
      <c r="D36" s="22">
        <f>12.56+7</f>
        <v>19.560000000000002</v>
      </c>
      <c r="E36" s="25"/>
      <c r="F36" s="22">
        <v>10.97</v>
      </c>
      <c r="G36" s="25"/>
      <c r="H36" s="22">
        <v>19.14</v>
      </c>
      <c r="I36" s="25"/>
      <c r="J36" s="22"/>
      <c r="K36" s="25"/>
      <c r="L36" s="73"/>
      <c r="M36" s="25"/>
      <c r="N36" s="22"/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49.67</v>
      </c>
      <c r="AY36" s="22">
        <f t="shared" si="3"/>
        <v>47.080568720379148</v>
      </c>
    </row>
    <row r="37" spans="1:51" x14ac:dyDescent="0.25">
      <c r="A37" s="19" t="s">
        <v>50</v>
      </c>
      <c r="B37" s="20" t="s">
        <v>34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1" x14ac:dyDescent="0.25">
      <c r="A38" s="19" t="s">
        <v>51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1" x14ac:dyDescent="0.25">
      <c r="A39" s="19" t="s">
        <v>208</v>
      </c>
      <c r="B39" s="20" t="s">
        <v>34</v>
      </c>
      <c r="C39" s="25"/>
      <c r="D39" s="22">
        <v>1.56</v>
      </c>
      <c r="E39" s="25"/>
      <c r="F39" s="22"/>
      <c r="G39" s="25"/>
      <c r="H39" s="22">
        <v>5.21</v>
      </c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6.77</v>
      </c>
      <c r="AY39" s="22">
        <f t="shared" si="3"/>
        <v>6.4170616113744074</v>
      </c>
    </row>
    <row r="40" spans="1:51" x14ac:dyDescent="0.25">
      <c r="A40" s="19" t="s">
        <v>133</v>
      </c>
      <c r="B40" s="20" t="s">
        <v>53</v>
      </c>
      <c r="C40" s="25"/>
      <c r="D40" s="22">
        <v>0.44</v>
      </c>
      <c r="E40" s="25"/>
      <c r="F40" s="22">
        <v>0.34</v>
      </c>
      <c r="G40" s="25"/>
      <c r="H40" s="22">
        <v>1.08</v>
      </c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1.86</v>
      </c>
      <c r="AY40" s="22">
        <f t="shared" si="3"/>
        <v>1.7630331753554505</v>
      </c>
    </row>
    <row r="41" spans="1:51" x14ac:dyDescent="0.25">
      <c r="A41" s="19" t="s">
        <v>54</v>
      </c>
      <c r="B41" s="20" t="s">
        <v>55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1" x14ac:dyDescent="0.25">
      <c r="A42" s="19" t="s">
        <v>56</v>
      </c>
      <c r="B42" s="20" t="s">
        <v>34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1" x14ac:dyDescent="0.25">
      <c r="A43" s="19" t="s">
        <v>57</v>
      </c>
      <c r="B43" s="20" t="s">
        <v>53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1" x14ac:dyDescent="0.25">
      <c r="A44" s="19" t="s">
        <v>58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1" x14ac:dyDescent="0.25">
      <c r="A45" s="19" t="s">
        <v>110</v>
      </c>
      <c r="B45" s="20" t="s">
        <v>34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1" x14ac:dyDescent="0.25">
      <c r="A46" s="19" t="s">
        <v>111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0</v>
      </c>
      <c r="AY46" s="22">
        <f t="shared" si="3"/>
        <v>0</v>
      </c>
    </row>
    <row r="47" spans="1:51" x14ac:dyDescent="0.25">
      <c r="A47" s="19" t="s">
        <v>112</v>
      </c>
      <c r="B47" s="20" t="s">
        <v>53</v>
      </c>
      <c r="C47" s="25"/>
      <c r="D47" s="22"/>
      <c r="E47" s="25"/>
      <c r="F47" s="22"/>
      <c r="G47" s="25"/>
      <c r="H47" s="22"/>
      <c r="I47" s="25"/>
      <c r="J47" s="22"/>
      <c r="K47" s="25"/>
      <c r="L47" s="73"/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0</v>
      </c>
      <c r="AY47" s="22">
        <f t="shared" si="3"/>
        <v>0</v>
      </c>
    </row>
    <row r="48" spans="1:51" x14ac:dyDescent="0.25">
      <c r="A48" s="19" t="s">
        <v>203</v>
      </c>
      <c r="B48" s="20" t="s">
        <v>34</v>
      </c>
      <c r="C48" s="25"/>
      <c r="D48" s="22"/>
      <c r="E48" s="25"/>
      <c r="F48" s="22"/>
      <c r="G48" s="25"/>
      <c r="H48" s="22"/>
      <c r="I48" s="25"/>
      <c r="J48" s="22"/>
      <c r="K48" s="25"/>
      <c r="L48" s="73"/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0</v>
      </c>
      <c r="AY48" s="22">
        <f t="shared" si="3"/>
        <v>0</v>
      </c>
    </row>
    <row r="49" spans="1:53" x14ac:dyDescent="0.25">
      <c r="A49" s="19" t="s">
        <v>134</v>
      </c>
      <c r="B49" s="20" t="s">
        <v>34</v>
      </c>
      <c r="C49" s="25"/>
      <c r="D49" s="22"/>
      <c r="E49" s="25"/>
      <c r="F49" s="22"/>
      <c r="G49" s="25"/>
      <c r="H49" s="22"/>
      <c r="I49" s="25"/>
      <c r="J49" s="22"/>
      <c r="K49" s="25"/>
      <c r="L49" s="73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2"/>
        <v>0</v>
      </c>
      <c r="AY49" s="22">
        <f t="shared" si="3"/>
        <v>0</v>
      </c>
    </row>
    <row r="50" spans="1:53" x14ac:dyDescent="0.25">
      <c r="A50" s="19" t="s">
        <v>204</v>
      </c>
      <c r="B50" s="20" t="s">
        <v>34</v>
      </c>
      <c r="C50" s="25"/>
      <c r="D50" s="22">
        <v>3.43</v>
      </c>
      <c r="E50" s="25"/>
      <c r="F50" s="22">
        <v>7.15</v>
      </c>
      <c r="G50" s="25"/>
      <c r="H50" s="22">
        <f>11.79+8</f>
        <v>19.79</v>
      </c>
      <c r="I50" s="25"/>
      <c r="J50" s="22"/>
      <c r="K50" s="25"/>
      <c r="L50" s="73"/>
      <c r="M50" s="25"/>
      <c r="N50" s="22"/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30.369999999999997</v>
      </c>
      <c r="AY50" s="22">
        <f t="shared" si="3"/>
        <v>28.786729857819903</v>
      </c>
    </row>
    <row r="51" spans="1:53" x14ac:dyDescent="0.25">
      <c r="A51" s="19" t="s">
        <v>59</v>
      </c>
      <c r="B51" s="20"/>
      <c r="C51" s="25"/>
      <c r="D51" s="22"/>
      <c r="E51" s="25"/>
      <c r="F51" s="22"/>
      <c r="G51" s="25"/>
      <c r="H51" s="22"/>
      <c r="I51" s="25"/>
      <c r="J51" s="22"/>
      <c r="K51" s="25"/>
      <c r="L51" s="73"/>
      <c r="M51" s="25"/>
      <c r="N51" s="22"/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0</v>
      </c>
      <c r="AY51" s="22">
        <f t="shared" si="3"/>
        <v>0</v>
      </c>
    </row>
    <row r="52" spans="1:53" s="18" customFormat="1" x14ac:dyDescent="0.25">
      <c r="A52" s="12" t="s">
        <v>60</v>
      </c>
      <c r="B52" s="13"/>
      <c r="C52" s="14"/>
      <c r="D52" s="15">
        <f>SUM(D53:D60)</f>
        <v>26.369999999999997</v>
      </c>
      <c r="E52" s="14"/>
      <c r="F52" s="15">
        <f>SUM(F53:F60)</f>
        <v>19.71</v>
      </c>
      <c r="G52" s="14"/>
      <c r="H52" s="15">
        <f>SUM(H53:H60)</f>
        <v>8.93</v>
      </c>
      <c r="I52" s="14"/>
      <c r="J52" s="15">
        <f>SUM(J53:J60)</f>
        <v>0</v>
      </c>
      <c r="K52" s="70"/>
      <c r="L52" s="70">
        <f>SUM(L53:L60)</f>
        <v>0</v>
      </c>
      <c r="M52" s="14"/>
      <c r="N52" s="15">
        <f>SUM(N53:N60)</f>
        <v>0</v>
      </c>
      <c r="O52" s="14"/>
      <c r="P52" s="15">
        <f>SUM(P53:P60)</f>
        <v>0</v>
      </c>
      <c r="Q52" s="14"/>
      <c r="R52" s="15">
        <f>SUM(R53:R60)</f>
        <v>0</v>
      </c>
      <c r="S52" s="14"/>
      <c r="T52" s="15">
        <f>SUM(T53:T60)</f>
        <v>0</v>
      </c>
      <c r="U52" s="14"/>
      <c r="V52" s="15">
        <f>SUM(V53:V60)</f>
        <v>0</v>
      </c>
      <c r="W52" s="14"/>
      <c r="X52" s="15">
        <f>SUM(X53:X60)</f>
        <v>0</v>
      </c>
      <c r="Y52" s="14"/>
      <c r="Z52" s="15">
        <f>SUM(Z53:Z60)</f>
        <v>0</v>
      </c>
      <c r="AA52" s="14"/>
      <c r="AB52" s="15">
        <f>SUM(AB53:AB60)</f>
        <v>0</v>
      </c>
      <c r="AC52" s="14"/>
      <c r="AD52" s="15">
        <f>SUM(AD53:AD60)</f>
        <v>0</v>
      </c>
      <c r="AE52" s="14"/>
      <c r="AF52" s="15">
        <f>SUM(AF53:AF60)</f>
        <v>0</v>
      </c>
      <c r="AG52" s="14"/>
      <c r="AH52" s="15">
        <f>SUM(AH53:AH60)</f>
        <v>0</v>
      </c>
      <c r="AI52" s="14"/>
      <c r="AJ52" s="15">
        <f>SUM(AJ53:AJ60)</f>
        <v>0</v>
      </c>
      <c r="AK52" s="14"/>
      <c r="AL52" s="15">
        <f>SUM(AL53:AL60)</f>
        <v>0</v>
      </c>
      <c r="AM52" s="14"/>
      <c r="AN52" s="15">
        <f>SUM(AN53:AN60)</f>
        <v>0</v>
      </c>
      <c r="AO52" s="14"/>
      <c r="AP52" s="15">
        <f>SUM(AP53:AP60)</f>
        <v>0</v>
      </c>
      <c r="AQ52" s="14"/>
      <c r="AR52" s="15">
        <f>SUM(AR53:AR60)</f>
        <v>0</v>
      </c>
      <c r="AS52" s="14"/>
      <c r="AT52" s="15">
        <f>SUM(AT53:AT60)</f>
        <v>0</v>
      </c>
      <c r="AU52" s="14"/>
      <c r="AV52" s="15">
        <f>SUM(AV53:AV60)</f>
        <v>0</v>
      </c>
      <c r="AX52" s="71">
        <f t="shared" si="2"/>
        <v>55.01</v>
      </c>
      <c r="AY52" s="15">
        <f t="shared" si="3"/>
        <v>52.142180094786731</v>
      </c>
    </row>
    <row r="53" spans="1:53" x14ac:dyDescent="0.25">
      <c r="A53" s="19" t="s">
        <v>61</v>
      </c>
      <c r="B53" s="20" t="s">
        <v>34</v>
      </c>
      <c r="C53" s="25"/>
      <c r="D53" s="22"/>
      <c r="E53" s="25"/>
      <c r="F53" s="22">
        <v>13.13</v>
      </c>
      <c r="G53" s="25"/>
      <c r="H53" s="22"/>
      <c r="I53" s="25"/>
      <c r="J53" s="22"/>
      <c r="K53" s="1"/>
      <c r="L53" s="73"/>
      <c r="M53" s="25"/>
      <c r="N53" s="22"/>
      <c r="O53" s="25"/>
      <c r="P53" s="22"/>
      <c r="Q53" s="25"/>
      <c r="R53" s="22"/>
      <c r="S53" s="25"/>
      <c r="T53" s="22"/>
      <c r="U53" s="25"/>
      <c r="V53" s="22"/>
      <c r="W53" s="25"/>
      <c r="X53" s="22"/>
      <c r="Y53" s="25"/>
      <c r="Z53" s="22"/>
      <c r="AA53" s="25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13.13</v>
      </c>
      <c r="AY53" s="22">
        <f t="shared" si="3"/>
        <v>12.445497630331754</v>
      </c>
    </row>
    <row r="54" spans="1:53" x14ac:dyDescent="0.25">
      <c r="A54" s="19" t="s">
        <v>62</v>
      </c>
      <c r="B54" s="20" t="s">
        <v>34</v>
      </c>
      <c r="C54"/>
      <c r="D54" s="22"/>
      <c r="E54"/>
      <c r="F54" s="22"/>
      <c r="G54"/>
      <c r="H54" s="22"/>
      <c r="I54"/>
      <c r="J54" s="22"/>
      <c r="K54" s="1"/>
      <c r="L54" s="22"/>
      <c r="M54"/>
      <c r="N54" s="22"/>
      <c r="O54"/>
      <c r="P54" s="22"/>
      <c r="Q54"/>
      <c r="R54" s="22"/>
      <c r="S54"/>
      <c r="T54" s="22"/>
      <c r="U54"/>
      <c r="V54" s="22"/>
      <c r="W54"/>
      <c r="X54" s="22"/>
      <c r="Y54"/>
      <c r="Z54" s="22"/>
      <c r="AA54"/>
      <c r="AB54" s="22"/>
      <c r="AC54"/>
      <c r="AD54" s="22"/>
      <c r="AE54"/>
      <c r="AF54" s="22"/>
      <c r="AG54"/>
      <c r="AH54" s="22"/>
      <c r="AI54"/>
      <c r="AJ54" s="22"/>
      <c r="AK54"/>
      <c r="AL54" s="22"/>
      <c r="AM54"/>
      <c r="AN54" s="22"/>
      <c r="AO54"/>
      <c r="AP54" s="22"/>
      <c r="AQ54"/>
      <c r="AR54" s="22"/>
      <c r="AS54"/>
      <c r="AT54" s="22"/>
      <c r="AU54"/>
      <c r="AV54" s="22"/>
      <c r="AW54"/>
      <c r="AX54" s="74">
        <f t="shared" si="2"/>
        <v>0</v>
      </c>
      <c r="AY54" s="22">
        <f t="shared" si="3"/>
        <v>0</v>
      </c>
    </row>
    <row r="55" spans="1:53" x14ac:dyDescent="0.25">
      <c r="A55" s="19" t="s">
        <v>63</v>
      </c>
      <c r="B55" s="20" t="s">
        <v>34</v>
      </c>
      <c r="C55"/>
      <c r="D55" s="22">
        <v>6</v>
      </c>
      <c r="E55"/>
      <c r="F55" s="22">
        <v>3.04</v>
      </c>
      <c r="G55"/>
      <c r="H55" s="22">
        <v>6.35</v>
      </c>
      <c r="I55"/>
      <c r="J55" s="22"/>
      <c r="K55" s="1"/>
      <c r="L55" s="22"/>
      <c r="M55"/>
      <c r="N55" s="22"/>
      <c r="O55"/>
      <c r="P55" s="22"/>
      <c r="Q55"/>
      <c r="R55" s="22"/>
      <c r="S55"/>
      <c r="T55" s="22"/>
      <c r="U55"/>
      <c r="V55" s="22"/>
      <c r="W55"/>
      <c r="X55" s="22"/>
      <c r="Y55"/>
      <c r="Z55" s="22"/>
      <c r="AA55"/>
      <c r="AB55" s="22"/>
      <c r="AC55"/>
      <c r="AD55" s="22"/>
      <c r="AE55"/>
      <c r="AF55" s="22"/>
      <c r="AG55"/>
      <c r="AH55" s="22"/>
      <c r="AI55"/>
      <c r="AJ55" s="22"/>
      <c r="AK55"/>
      <c r="AL55" s="22"/>
      <c r="AM55"/>
      <c r="AN55" s="22"/>
      <c r="AO55"/>
      <c r="AP55" s="22"/>
      <c r="AQ55"/>
      <c r="AR55" s="22"/>
      <c r="AS55"/>
      <c r="AT55" s="22"/>
      <c r="AU55"/>
      <c r="AV55" s="22"/>
      <c r="AW55"/>
      <c r="AX55" s="74">
        <f t="shared" si="2"/>
        <v>15.39</v>
      </c>
      <c r="AY55" s="22">
        <f t="shared" si="3"/>
        <v>14.587677725118485</v>
      </c>
    </row>
    <row r="56" spans="1:53" x14ac:dyDescent="0.25">
      <c r="A56" s="19" t="s">
        <v>64</v>
      </c>
      <c r="B56" s="20" t="s">
        <v>34</v>
      </c>
      <c r="C56" s="25"/>
      <c r="D56" s="22">
        <v>8.1</v>
      </c>
      <c r="E56" s="25"/>
      <c r="F56" s="22">
        <v>3.54</v>
      </c>
      <c r="G56" s="25"/>
      <c r="H56" s="22"/>
      <c r="I56" s="25"/>
      <c r="J56" s="22"/>
      <c r="K56" s="1"/>
      <c r="L56" s="73"/>
      <c r="M56" s="25"/>
      <c r="N56" s="22"/>
      <c r="O56" s="25"/>
      <c r="P56" s="22"/>
      <c r="Q56" s="25"/>
      <c r="R56" s="22"/>
      <c r="S56" s="25"/>
      <c r="T56" s="22"/>
      <c r="U56" s="85"/>
      <c r="V56" s="22"/>
      <c r="W56" s="25"/>
      <c r="X56" s="22"/>
      <c r="Y56" s="25"/>
      <c r="Z56" s="22"/>
      <c r="AA56" s="25"/>
      <c r="AB56" s="22"/>
      <c r="AC56" s="25"/>
      <c r="AD56" s="22"/>
      <c r="AE56" s="25"/>
      <c r="AF56" s="22"/>
      <c r="AG56" s="25"/>
      <c r="AH56" s="22"/>
      <c r="AI56" s="25"/>
      <c r="AJ56" s="22"/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/>
      <c r="AX56" s="74">
        <f t="shared" si="2"/>
        <v>11.64</v>
      </c>
      <c r="AY56" s="22">
        <f t="shared" si="3"/>
        <v>11.033175355450238</v>
      </c>
    </row>
    <row r="57" spans="1:53" x14ac:dyDescent="0.25">
      <c r="A57" s="19" t="s">
        <v>65</v>
      </c>
      <c r="B57" s="20" t="s">
        <v>34</v>
      </c>
      <c r="C57" s="25"/>
      <c r="D57" s="22"/>
      <c r="E57" s="25"/>
      <c r="F57" s="22"/>
      <c r="G57" s="25"/>
      <c r="H57" s="22"/>
      <c r="I57" s="25"/>
      <c r="J57" s="22"/>
      <c r="K57" s="1"/>
      <c r="L57" s="73"/>
      <c r="M57" s="25"/>
      <c r="N57" s="22"/>
      <c r="O57" s="25"/>
      <c r="P57" s="22"/>
      <c r="Q57" s="25"/>
      <c r="R57" s="22"/>
      <c r="S57" s="25"/>
      <c r="T57" s="22"/>
      <c r="U57" s="25"/>
      <c r="V57" s="22"/>
      <c r="W57" s="25"/>
      <c r="X57" s="22"/>
      <c r="Y57" s="25"/>
      <c r="Z57" s="22"/>
      <c r="AA57" s="25"/>
      <c r="AB57" s="22"/>
      <c r="AC57" s="25"/>
      <c r="AD57" s="22"/>
      <c r="AE57" s="25"/>
      <c r="AF57" s="22"/>
      <c r="AG57" s="25"/>
      <c r="AH57" s="22"/>
      <c r="AI57" s="25"/>
      <c r="AJ57" s="22"/>
      <c r="AK57" s="25"/>
      <c r="AL57" s="22"/>
      <c r="AM57" s="25"/>
      <c r="AN57" s="22"/>
      <c r="AO57" s="25"/>
      <c r="AP57" s="22"/>
      <c r="AQ57" s="25"/>
      <c r="AR57" s="22"/>
      <c r="AS57" s="25"/>
      <c r="AT57" s="22"/>
      <c r="AU57" s="25"/>
      <c r="AV57" s="22"/>
      <c r="AW57"/>
      <c r="AX57" s="74">
        <f t="shared" si="2"/>
        <v>0</v>
      </c>
      <c r="AY57" s="22">
        <f t="shared" si="3"/>
        <v>0</v>
      </c>
    </row>
    <row r="58" spans="1:53" x14ac:dyDescent="0.25">
      <c r="A58" s="19" t="s">
        <v>66</v>
      </c>
      <c r="B58" s="20" t="s">
        <v>34</v>
      </c>
      <c r="C58" s="25"/>
      <c r="D58" s="22">
        <v>12.27</v>
      </c>
      <c r="E58" s="25"/>
      <c r="F58" s="22"/>
      <c r="G58" s="25"/>
      <c r="H58" s="22">
        <v>2.58</v>
      </c>
      <c r="I58" s="25"/>
      <c r="J58" s="22"/>
      <c r="K58" s="1"/>
      <c r="L58" s="73"/>
      <c r="M58" s="25"/>
      <c r="N58" s="22"/>
      <c r="O58" s="25"/>
      <c r="P58" s="22"/>
      <c r="Q58" s="25"/>
      <c r="R58" s="22"/>
      <c r="S58" s="25"/>
      <c r="T58" s="22"/>
      <c r="U58" s="25"/>
      <c r="V58" s="22"/>
      <c r="W58" s="25"/>
      <c r="X58" s="22"/>
      <c r="Y58" s="25"/>
      <c r="Z58" s="22"/>
      <c r="AA58" s="25"/>
      <c r="AB58" s="22"/>
      <c r="AC58" s="25"/>
      <c r="AD58" s="22"/>
      <c r="AE58" s="25"/>
      <c r="AF58" s="22"/>
      <c r="AG58" s="25"/>
      <c r="AH58" s="22"/>
      <c r="AI58" s="25"/>
      <c r="AJ58" s="22"/>
      <c r="AK58" s="25"/>
      <c r="AL58" s="22"/>
      <c r="AM58" s="25"/>
      <c r="AN58" s="22"/>
      <c r="AO58" s="25"/>
      <c r="AP58" s="22"/>
      <c r="AQ58" s="25"/>
      <c r="AR58" s="22"/>
      <c r="AS58" s="25"/>
      <c r="AT58" s="22"/>
      <c r="AU58" s="25"/>
      <c r="AV58" s="22"/>
      <c r="AW58"/>
      <c r="AX58" s="74">
        <f t="shared" si="2"/>
        <v>14.85</v>
      </c>
      <c r="AY58" s="22">
        <f t="shared" si="3"/>
        <v>14.075829383886257</v>
      </c>
    </row>
    <row r="59" spans="1:53" x14ac:dyDescent="0.25">
      <c r="A59" s="19" t="s">
        <v>38</v>
      </c>
      <c r="B59" s="20" t="s">
        <v>34</v>
      </c>
      <c r="C59" s="25"/>
      <c r="D59" s="22"/>
      <c r="E59" s="25"/>
      <c r="F59" s="22"/>
      <c r="G59" s="25"/>
      <c r="H59" s="22"/>
      <c r="I59" s="25"/>
      <c r="J59" s="22"/>
      <c r="K59" s="1"/>
      <c r="L59" s="73"/>
      <c r="M59" s="25"/>
      <c r="N59" s="22"/>
      <c r="O59" s="25"/>
      <c r="P59" s="22"/>
      <c r="Q59" s="25"/>
      <c r="R59" s="22"/>
      <c r="S59" s="25"/>
      <c r="T59" s="22"/>
      <c r="U59" s="2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2"/>
        <v>0</v>
      </c>
      <c r="AY59" s="22">
        <f t="shared" si="3"/>
        <v>0</v>
      </c>
    </row>
    <row r="60" spans="1:53" x14ac:dyDescent="0.25">
      <c r="A60" s="19" t="s">
        <v>114</v>
      </c>
      <c r="B60" s="20"/>
      <c r="C60" s="25"/>
      <c r="D60" s="22"/>
      <c r="E60" s="25"/>
      <c r="F60" s="22"/>
      <c r="G60" s="25"/>
      <c r="H60" s="22"/>
      <c r="I60" s="25"/>
      <c r="J60" s="22"/>
      <c r="K60" s="1"/>
      <c r="L60" s="73"/>
      <c r="M60" s="25"/>
      <c r="N60" s="22"/>
      <c r="O60" s="25"/>
      <c r="P60" s="22"/>
      <c r="Q60" s="25"/>
      <c r="R60" s="22"/>
      <c r="S60" s="25"/>
      <c r="T60" s="22"/>
      <c r="U60" s="25"/>
      <c r="V60" s="22"/>
      <c r="W60" s="25"/>
      <c r="X60" s="22"/>
      <c r="Y60" s="25"/>
      <c r="Z60" s="22"/>
      <c r="AA60" s="25"/>
      <c r="AB60" s="22"/>
      <c r="AC60" s="25"/>
      <c r="AD60" s="22"/>
      <c r="AE60" s="25"/>
      <c r="AF60" s="22"/>
      <c r="AG60" s="25"/>
      <c r="AH60" s="22"/>
      <c r="AI60" s="25"/>
      <c r="AJ60" s="22"/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 t="shared" si="2"/>
        <v>0</v>
      </c>
      <c r="AY60" s="22">
        <f t="shared" si="3"/>
        <v>0</v>
      </c>
    </row>
    <row r="61" spans="1:53" s="18" customFormat="1" x14ac:dyDescent="0.25">
      <c r="A61" s="12" t="s">
        <v>67</v>
      </c>
      <c r="B61" s="13"/>
      <c r="C61" s="14"/>
      <c r="D61" s="15">
        <f>SUM(D62:D63)</f>
        <v>2.5</v>
      </c>
      <c r="E61" s="14"/>
      <c r="F61" s="15">
        <f>SUM(F62:F63)</f>
        <v>7.9</v>
      </c>
      <c r="G61" s="14"/>
      <c r="H61" s="15">
        <f>SUM(H62:H63)</f>
        <v>7.5</v>
      </c>
      <c r="I61" s="14"/>
      <c r="J61" s="15">
        <f>SUM(J62:J63)</f>
        <v>0</v>
      </c>
      <c r="K61" s="70"/>
      <c r="L61" s="70">
        <f>SUM(L62:L63)</f>
        <v>0</v>
      </c>
      <c r="M61" s="14"/>
      <c r="N61" s="15">
        <f>SUM(N62:N63)</f>
        <v>0</v>
      </c>
      <c r="O61" s="14"/>
      <c r="P61" s="15">
        <f>SUM(P62:P63)</f>
        <v>0</v>
      </c>
      <c r="Q61" s="14"/>
      <c r="R61" s="15">
        <f>SUM(R62:R63)</f>
        <v>0</v>
      </c>
      <c r="S61" s="14"/>
      <c r="T61" s="15">
        <f>SUM(T62:T63)</f>
        <v>0</v>
      </c>
      <c r="U61" s="14"/>
      <c r="V61" s="15">
        <f>SUM(V62:V63)</f>
        <v>0</v>
      </c>
      <c r="W61" s="14"/>
      <c r="X61" s="15">
        <f>SUM(X62:X63)</f>
        <v>0</v>
      </c>
      <c r="Y61" s="14"/>
      <c r="Z61" s="15">
        <f>SUM(Z62:Z63)</f>
        <v>0</v>
      </c>
      <c r="AA61" s="14"/>
      <c r="AB61" s="15">
        <f>SUM(AB62:AB63)</f>
        <v>0</v>
      </c>
      <c r="AC61" s="14"/>
      <c r="AD61" s="15">
        <f>SUM(AD62:AD63)</f>
        <v>0</v>
      </c>
      <c r="AE61" s="14"/>
      <c r="AF61" s="15">
        <f>SUM(AF62:AF63)</f>
        <v>0</v>
      </c>
      <c r="AG61" s="14"/>
      <c r="AH61" s="15">
        <f>SUM(AH62:AH63)</f>
        <v>0</v>
      </c>
      <c r="AI61" s="14"/>
      <c r="AJ61" s="15">
        <f>SUM(AJ62:AJ63)</f>
        <v>0</v>
      </c>
      <c r="AK61" s="14"/>
      <c r="AL61" s="15">
        <f>SUM(AL62:AL63)</f>
        <v>0</v>
      </c>
      <c r="AM61" s="14"/>
      <c r="AN61" s="15">
        <f>SUM(AN62:AN63)</f>
        <v>0</v>
      </c>
      <c r="AO61" s="14"/>
      <c r="AP61" s="15">
        <f>SUM(AP62:AP63)</f>
        <v>0</v>
      </c>
      <c r="AQ61" s="14"/>
      <c r="AR61" s="15">
        <f>SUM(AR62:AR63)</f>
        <v>0</v>
      </c>
      <c r="AS61" s="14"/>
      <c r="AT61" s="15">
        <f>SUM(AT62:AT63)</f>
        <v>0</v>
      </c>
      <c r="AU61" s="14"/>
      <c r="AV61" s="15">
        <f>SUM(AV62:AV63)</f>
        <v>0</v>
      </c>
      <c r="AX61" s="71">
        <f t="shared" si="2"/>
        <v>17.899999999999999</v>
      </c>
      <c r="AY61" s="15">
        <f t="shared" si="3"/>
        <v>16.966824644549764</v>
      </c>
    </row>
    <row r="62" spans="1:53" x14ac:dyDescent="0.25">
      <c r="A62" s="19" t="s">
        <v>68</v>
      </c>
      <c r="B62" s="20" t="s">
        <v>69</v>
      </c>
      <c r="C62" s="21">
        <v>1</v>
      </c>
      <c r="D62" s="22">
        <v>2.5</v>
      </c>
      <c r="E62" s="21">
        <v>2</v>
      </c>
      <c r="F62" s="22">
        <v>5</v>
      </c>
      <c r="G62" s="21">
        <v>4</v>
      </c>
      <c r="H62" s="22">
        <v>7.5</v>
      </c>
      <c r="I62" s="21"/>
      <c r="J62" s="22"/>
      <c r="K62" s="24"/>
      <c r="L62" s="73"/>
      <c r="M62" s="21"/>
      <c r="N62" s="22"/>
      <c r="O62" s="21"/>
      <c r="P62" s="22"/>
      <c r="Q62" s="21"/>
      <c r="R62" s="22"/>
      <c r="S62" s="21"/>
      <c r="T62" s="22"/>
      <c r="U62" s="21"/>
      <c r="V62" s="22"/>
      <c r="W62" s="21"/>
      <c r="X62" s="22"/>
      <c r="Y62" s="21"/>
      <c r="Z62" s="22"/>
      <c r="AA62" s="21"/>
      <c r="AB62" s="22"/>
      <c r="AC62" s="21"/>
      <c r="AD62" s="22"/>
      <c r="AE62" s="21"/>
      <c r="AF62" s="22"/>
      <c r="AG62" s="21"/>
      <c r="AH62" s="22"/>
      <c r="AI62" s="21"/>
      <c r="AJ62" s="22"/>
      <c r="AK62" s="21"/>
      <c r="AL62" s="22"/>
      <c r="AM62" s="21"/>
      <c r="AN62" s="22"/>
      <c r="AO62" s="21"/>
      <c r="AP62" s="22"/>
      <c r="AQ62" s="21"/>
      <c r="AR62" s="22"/>
      <c r="AS62" s="21"/>
      <c r="AT62" s="22"/>
      <c r="AU62" s="21"/>
      <c r="AV62" s="22"/>
      <c r="AW62"/>
      <c r="AX62" s="74">
        <f t="shared" si="2"/>
        <v>15</v>
      </c>
      <c r="AY62" s="22">
        <f t="shared" si="3"/>
        <v>14.218009478672986</v>
      </c>
      <c r="BA62" s="75"/>
    </row>
    <row r="63" spans="1:53" x14ac:dyDescent="0.25">
      <c r="A63" s="7" t="s">
        <v>70</v>
      </c>
      <c r="B63" s="8" t="s">
        <v>69</v>
      </c>
      <c r="C63" s="26"/>
      <c r="D63" s="10"/>
      <c r="E63" s="26">
        <v>1</v>
      </c>
      <c r="F63" s="10">
        <v>2.9</v>
      </c>
      <c r="G63" s="26"/>
      <c r="H63" s="10"/>
      <c r="I63" s="26"/>
      <c r="J63" s="10"/>
      <c r="K63" s="26"/>
      <c r="L63" s="68"/>
      <c r="M63" s="26"/>
      <c r="N63" s="10"/>
      <c r="O63" s="26"/>
      <c r="P63" s="10"/>
      <c r="Q63" s="26"/>
      <c r="R63" s="10"/>
      <c r="S63" s="26"/>
      <c r="T63" s="10"/>
      <c r="U63" s="26"/>
      <c r="V63" s="10"/>
      <c r="W63" s="26"/>
      <c r="X63" s="10"/>
      <c r="Y63" s="26"/>
      <c r="Z63" s="10"/>
      <c r="AA63" s="26"/>
      <c r="AB63" s="10"/>
      <c r="AC63" s="26"/>
      <c r="AD63" s="10"/>
      <c r="AE63" s="26"/>
      <c r="AF63" s="10"/>
      <c r="AG63" s="26"/>
      <c r="AH63" s="10"/>
      <c r="AI63" s="26"/>
      <c r="AJ63" s="10"/>
      <c r="AK63" s="26"/>
      <c r="AL63" s="10"/>
      <c r="AM63" s="26"/>
      <c r="AN63" s="10"/>
      <c r="AO63" s="26"/>
      <c r="AP63" s="10"/>
      <c r="AQ63" s="26"/>
      <c r="AR63" s="10"/>
      <c r="AS63" s="26"/>
      <c r="AT63" s="10"/>
      <c r="AU63" s="26"/>
      <c r="AV63" s="10"/>
      <c r="AW63"/>
      <c r="AX63" s="77">
        <f t="shared" si="2"/>
        <v>2.9</v>
      </c>
      <c r="AY63" s="10">
        <f t="shared" si="3"/>
        <v>2.7488151658767772</v>
      </c>
    </row>
    <row r="64" spans="1:53" s="18" customFormat="1" x14ac:dyDescent="0.25">
      <c r="A64" s="12" t="s">
        <v>71</v>
      </c>
      <c r="B64" s="13"/>
      <c r="C64" s="14"/>
      <c r="D64" s="15">
        <f>SUM(D65:D65)</f>
        <v>1.35</v>
      </c>
      <c r="E64" s="14"/>
      <c r="F64" s="15">
        <f>SUM(F65:F65)</f>
        <v>0</v>
      </c>
      <c r="G64" s="14"/>
      <c r="H64" s="15">
        <f>SUM(H65:H65)</f>
        <v>0</v>
      </c>
      <c r="I64" s="14"/>
      <c r="J64" s="15">
        <f>SUM(J65:J65)</f>
        <v>0</v>
      </c>
      <c r="K64" s="70"/>
      <c r="L64" s="70"/>
      <c r="M64" s="14"/>
      <c r="N64" s="15">
        <f>SUM(N65:N65)</f>
        <v>0</v>
      </c>
      <c r="O64" s="14"/>
      <c r="P64" s="15">
        <f>SUM(P65:P65)</f>
        <v>0</v>
      </c>
      <c r="Q64" s="14"/>
      <c r="R64" s="15">
        <f>SUM(R65:R65)</f>
        <v>0</v>
      </c>
      <c r="S64" s="14"/>
      <c r="T64" s="15">
        <f>SUM(T65:T65)</f>
        <v>0</v>
      </c>
      <c r="U64" s="14"/>
      <c r="V64" s="15">
        <f>SUM(V65:V65)</f>
        <v>0</v>
      </c>
      <c r="W64" s="14"/>
      <c r="X64" s="15">
        <f>SUM(X65:X65)</f>
        <v>0</v>
      </c>
      <c r="Y64" s="14"/>
      <c r="Z64" s="15">
        <f>SUM(Z65:Z65)</f>
        <v>0</v>
      </c>
      <c r="AA64" s="14"/>
      <c r="AB64" s="15">
        <f>SUM(AB65:AB65)</f>
        <v>0</v>
      </c>
      <c r="AC64" s="14"/>
      <c r="AD64" s="15">
        <f>SUM(AD65:AD65)</f>
        <v>0</v>
      </c>
      <c r="AE64" s="14"/>
      <c r="AF64" s="15">
        <f>SUM(AF65:AF65)</f>
        <v>0</v>
      </c>
      <c r="AG64" s="14"/>
      <c r="AH64" s="15">
        <f>SUM(AH65:AH65)</f>
        <v>0</v>
      </c>
      <c r="AI64" s="14"/>
      <c r="AJ64" s="15">
        <f>SUM(AJ65:AJ65)</f>
        <v>0</v>
      </c>
      <c r="AK64" s="14"/>
      <c r="AL64" s="15">
        <f>SUM(AL65:AL65)</f>
        <v>0</v>
      </c>
      <c r="AM64" s="14"/>
      <c r="AN64" s="15">
        <f>SUM(AN65:AN65)</f>
        <v>0</v>
      </c>
      <c r="AO64" s="14"/>
      <c r="AP64" s="15">
        <f>SUM(AP65:AP65)</f>
        <v>0</v>
      </c>
      <c r="AQ64" s="14"/>
      <c r="AR64" s="15">
        <f>SUM(AR65:AR65)</f>
        <v>0</v>
      </c>
      <c r="AS64" s="14"/>
      <c r="AT64" s="15">
        <f>SUM(AT65:AT65)</f>
        <v>0</v>
      </c>
      <c r="AU64" s="14"/>
      <c r="AV64" s="15">
        <f>SUM(AV65:AV65)</f>
        <v>0</v>
      </c>
      <c r="AX64" s="71">
        <f t="shared" si="2"/>
        <v>1.35</v>
      </c>
      <c r="AY64" s="15">
        <f t="shared" si="3"/>
        <v>1.2796208530805688</v>
      </c>
    </row>
    <row r="65" spans="1:52" x14ac:dyDescent="0.25">
      <c r="A65" s="7" t="s">
        <v>72</v>
      </c>
      <c r="B65" s="8" t="s">
        <v>73</v>
      </c>
      <c r="C65" s="26"/>
      <c r="D65" s="10">
        <v>1.35</v>
      </c>
      <c r="E65" s="26"/>
      <c r="F65" s="10"/>
      <c r="G65" s="26"/>
      <c r="H65" s="10"/>
      <c r="I65" s="26"/>
      <c r="J65" s="10"/>
      <c r="K65" s="76"/>
      <c r="L65" s="68"/>
      <c r="M65" s="26"/>
      <c r="N65" s="10"/>
      <c r="O65" s="26"/>
      <c r="P65" s="10"/>
      <c r="Q65" s="26"/>
      <c r="R65" s="10"/>
      <c r="S65" s="26"/>
      <c r="T65" s="10"/>
      <c r="U65" s="26"/>
      <c r="V65" s="10"/>
      <c r="W65" s="26"/>
      <c r="X65" s="10"/>
      <c r="Y65" s="26"/>
      <c r="Z65" s="10"/>
      <c r="AA65" s="26"/>
      <c r="AB65" s="10"/>
      <c r="AC65" s="26"/>
      <c r="AD65" s="10"/>
      <c r="AE65" s="26"/>
      <c r="AF65" s="10"/>
      <c r="AG65" s="26"/>
      <c r="AH65" s="10"/>
      <c r="AI65" s="26"/>
      <c r="AJ65" s="10"/>
      <c r="AK65" s="26"/>
      <c r="AL65" s="10"/>
      <c r="AM65" s="26"/>
      <c r="AN65" s="10"/>
      <c r="AO65" s="26"/>
      <c r="AP65" s="10"/>
      <c r="AQ65" s="26"/>
      <c r="AR65" s="10"/>
      <c r="AS65" s="26"/>
      <c r="AT65" s="10"/>
      <c r="AU65" s="26"/>
      <c r="AV65" s="10"/>
      <c r="AW65"/>
      <c r="AX65" s="77">
        <f t="shared" si="2"/>
        <v>1.35</v>
      </c>
      <c r="AY65" s="10">
        <f t="shared" si="3"/>
        <v>1.2796208530805688</v>
      </c>
    </row>
    <row r="66" spans="1:52" s="30" customFormat="1" x14ac:dyDescent="0.25">
      <c r="A66" s="138" t="s">
        <v>74</v>
      </c>
      <c r="B66" s="138"/>
      <c r="C66" s="28"/>
      <c r="D66" s="29">
        <f>D3+D33+D52+D61+D64</f>
        <v>131.34</v>
      </c>
      <c r="E66" s="28"/>
      <c r="F66" s="29">
        <f>F3+F33+F52+F61+F64</f>
        <v>100.88</v>
      </c>
      <c r="G66" s="28"/>
      <c r="H66" s="29">
        <f>H3+H33+H52+H61+H64</f>
        <v>137.35</v>
      </c>
      <c r="I66" s="28"/>
      <c r="J66" s="29">
        <f>J3+J33+J52+J61+J64</f>
        <v>0</v>
      </c>
      <c r="K66" s="29"/>
      <c r="L66" s="29">
        <f>L3+L33+L52+L61+L64</f>
        <v>0</v>
      </c>
      <c r="M66" s="28"/>
      <c r="N66" s="29">
        <f>N3+N33+N52+N61+N64</f>
        <v>0</v>
      </c>
      <c r="O66" s="28"/>
      <c r="P66" s="29">
        <f>P3+P33+P52+P61+P64</f>
        <v>0</v>
      </c>
      <c r="Q66" s="28"/>
      <c r="R66" s="29">
        <f>R3+R33+R52+R61+R64</f>
        <v>0</v>
      </c>
      <c r="S66" s="28"/>
      <c r="T66" s="29">
        <f>T3+T33+T52+T61+T64</f>
        <v>0</v>
      </c>
      <c r="U66" s="28"/>
      <c r="V66" s="29">
        <f>V3+V33+V52+V61+V64</f>
        <v>0</v>
      </c>
      <c r="W66" s="28"/>
      <c r="X66" s="29">
        <f>X3+X33+X52+X61+X64</f>
        <v>0</v>
      </c>
      <c r="Y66" s="28"/>
      <c r="Z66" s="29">
        <f>Z3+Z33+Z52+Z61+Z64</f>
        <v>0</v>
      </c>
      <c r="AA66" s="28"/>
      <c r="AB66" s="29">
        <f>AB3+AB33+AB52+AB61+AB64</f>
        <v>0</v>
      </c>
      <c r="AC66" s="28"/>
      <c r="AD66" s="29">
        <f>AD3+AD33+AD52+AD61+AD64</f>
        <v>0</v>
      </c>
      <c r="AE66" s="28"/>
      <c r="AF66" s="29">
        <f>AF3+AF33+AF52+AF61+AF64</f>
        <v>0</v>
      </c>
      <c r="AG66" s="28"/>
      <c r="AH66" s="29">
        <f>AH3+AH33+AH52+AH61+AH64</f>
        <v>0</v>
      </c>
      <c r="AI66" s="28"/>
      <c r="AJ66" s="29">
        <f>AJ3+AJ33+AJ52+AJ61+AJ64</f>
        <v>0</v>
      </c>
      <c r="AK66" s="28"/>
      <c r="AL66" s="29">
        <f>AL3+AL33+AL52+AL61+AL64</f>
        <v>0</v>
      </c>
      <c r="AM66" s="28"/>
      <c r="AN66" s="29">
        <f>AN3+AN33+AN52+AN61+AN64</f>
        <v>0</v>
      </c>
      <c r="AO66" s="28"/>
      <c r="AP66" s="29">
        <f>AP3+AP33+AP52+AP61+AP64</f>
        <v>0</v>
      </c>
      <c r="AQ66" s="28"/>
      <c r="AR66" s="29">
        <f>AR3+AR33+AR52+AR61+AR64</f>
        <v>0</v>
      </c>
      <c r="AS66" s="28"/>
      <c r="AT66" s="29">
        <f>AT3+AT33+AT52+AT61+AT64</f>
        <v>0</v>
      </c>
      <c r="AU66" s="28"/>
      <c r="AV66" s="29">
        <f>AV3+AV33+AV52+AV61+AV64</f>
        <v>0</v>
      </c>
      <c r="AW66" s="29"/>
      <c r="AX66" s="28">
        <f t="shared" si="2"/>
        <v>369.57</v>
      </c>
      <c r="AY66" s="29">
        <f t="shared" si="3"/>
        <v>350.30331753554503</v>
      </c>
    </row>
    <row r="67" spans="1:52" x14ac:dyDescent="0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Y67" s="78"/>
      <c r="AZ67" s="91"/>
    </row>
    <row r="68" spans="1:52" x14ac:dyDescent="0.25">
      <c r="A68" s="139" t="s">
        <v>75</v>
      </c>
      <c r="B68" s="33" t="s">
        <v>76</v>
      </c>
      <c r="C68" s="34"/>
      <c r="D68" s="35">
        <f>173-41.25</f>
        <v>131.75</v>
      </c>
      <c r="E68" s="34"/>
      <c r="F68" s="36">
        <f>136-35.76</f>
        <v>100.24000000000001</v>
      </c>
      <c r="G68" s="34"/>
      <c r="H68" s="37">
        <f>180-42.5</f>
        <v>137.5</v>
      </c>
      <c r="I68" s="34"/>
      <c r="J68" s="37"/>
      <c r="K68" s="36"/>
      <c r="L68" s="36"/>
      <c r="M68" s="34"/>
      <c r="N68" s="37"/>
      <c r="O68" s="34"/>
      <c r="P68" s="37"/>
      <c r="Q68" s="34"/>
      <c r="R68" s="36"/>
      <c r="S68" s="34"/>
      <c r="T68" s="37"/>
      <c r="U68" s="34"/>
      <c r="V68" s="37"/>
      <c r="W68" s="34"/>
      <c r="X68" s="37"/>
      <c r="Y68" s="34"/>
      <c r="Z68" s="37"/>
      <c r="AA68" s="34"/>
      <c r="AB68" s="37"/>
      <c r="AC68" s="34"/>
      <c r="AD68" s="37"/>
      <c r="AE68" s="34"/>
      <c r="AF68" s="37"/>
      <c r="AG68" s="34"/>
      <c r="AH68" s="37"/>
      <c r="AI68" s="34"/>
      <c r="AJ68" s="37"/>
      <c r="AK68" s="34"/>
      <c r="AL68" s="37"/>
      <c r="AM68" s="34"/>
      <c r="AN68" s="37"/>
      <c r="AO68" s="34"/>
      <c r="AP68" s="37"/>
      <c r="AQ68" s="34"/>
      <c r="AR68" s="37"/>
      <c r="AS68" s="34"/>
      <c r="AT68" s="37"/>
      <c r="AU68" s="34"/>
      <c r="AV68" s="37"/>
      <c r="AW68" s="79"/>
      <c r="AX68" s="92">
        <f>SUM(D68,F68,H68,J68,L68,N68,P68,R68,T68,V68,X68,Z68,AB68,AD68,AF68,AH68,AJ68,AL68,AN68,AP68,AR68,AT68,AV68)</f>
        <v>369.49</v>
      </c>
      <c r="AY68" s="37">
        <f>AX68/1.055</f>
        <v>350.2274881516588</v>
      </c>
    </row>
    <row r="69" spans="1:52" x14ac:dyDescent="0.25">
      <c r="A69" s="139"/>
      <c r="B69" s="38" t="s">
        <v>77</v>
      </c>
      <c r="C69" s="39"/>
      <c r="D69" s="40"/>
      <c r="E69" s="39"/>
      <c r="F69" s="41"/>
      <c r="G69" s="39"/>
      <c r="H69" s="42"/>
      <c r="I69" s="39"/>
      <c r="J69" s="42"/>
      <c r="K69" s="88"/>
      <c r="L69" s="41"/>
      <c r="M69" s="39"/>
      <c r="N69" s="42"/>
      <c r="O69" s="39"/>
      <c r="P69" s="42"/>
      <c r="Q69" s="43"/>
      <c r="R69" s="41"/>
      <c r="S69" s="39"/>
      <c r="T69" s="42"/>
      <c r="U69" s="39"/>
      <c r="V69" s="42"/>
      <c r="W69" s="39"/>
      <c r="X69" s="42"/>
      <c r="Y69" s="39"/>
      <c r="Z69" s="42"/>
      <c r="AA69" s="39"/>
      <c r="AB69" s="42"/>
      <c r="AC69" s="39"/>
      <c r="AD69" s="42"/>
      <c r="AE69" s="39"/>
      <c r="AF69" s="42"/>
      <c r="AG69" s="39"/>
      <c r="AH69" s="42"/>
      <c r="AI69" s="39"/>
      <c r="AJ69" s="42"/>
      <c r="AK69" s="39"/>
      <c r="AL69" s="42"/>
      <c r="AM69" s="39"/>
      <c r="AN69" s="42"/>
      <c r="AO69" s="39"/>
      <c r="AP69" s="42"/>
      <c r="AQ69" s="39"/>
      <c r="AR69" s="42"/>
      <c r="AS69" s="39"/>
      <c r="AT69" s="42"/>
      <c r="AU69" s="39"/>
      <c r="AV69" s="42"/>
      <c r="AW69" s="80">
        <f>SUM(C69,E69,G69,I69,K69,M69,O69,Q69,S69,U69,W69,Y69,AA69,AC69,AE69,AG69,AI69,AK69,AM69,AO69,AQ69,AS69,AU69)</f>
        <v>0</v>
      </c>
      <c r="AX69" s="93">
        <f>SUM(D69,F69,H69,J69,L69,N69,P69,R69,T69,V69,X69,Z69,AB69,AD69,AF69,AH69,AJ69,AL69,AN69,AP69,AR69,AT69,AV69)</f>
        <v>0</v>
      </c>
      <c r="AY69" s="42">
        <f>AX69/1.055</f>
        <v>0</v>
      </c>
    </row>
    <row r="70" spans="1:52" x14ac:dyDescent="0.25">
      <c r="A70" s="139"/>
      <c r="B70" s="38" t="s">
        <v>157</v>
      </c>
      <c r="C70" s="43"/>
      <c r="D70" s="40"/>
      <c r="E70" s="43"/>
      <c r="F70" s="41"/>
      <c r="G70" s="43"/>
      <c r="H70" s="42"/>
      <c r="I70" s="43"/>
      <c r="J70" s="42"/>
      <c r="K70" s="41"/>
      <c r="L70" s="41"/>
      <c r="M70" s="43"/>
      <c r="N70" s="42"/>
      <c r="O70" s="43"/>
      <c r="P70" s="42"/>
      <c r="Q70" s="43"/>
      <c r="R70" s="41"/>
      <c r="S70" s="43"/>
      <c r="T70" s="42"/>
      <c r="U70" s="43"/>
      <c r="V70" s="42"/>
      <c r="W70" s="43"/>
      <c r="X70" s="42"/>
      <c r="Y70" s="43"/>
      <c r="Z70" s="42"/>
      <c r="AA70" s="43"/>
      <c r="AB70" s="42"/>
      <c r="AC70" s="43"/>
      <c r="AD70" s="42"/>
      <c r="AE70" s="43"/>
      <c r="AF70" s="42"/>
      <c r="AG70" s="43"/>
      <c r="AH70" s="42"/>
      <c r="AI70" s="43"/>
      <c r="AJ70" s="42"/>
      <c r="AK70" s="43"/>
      <c r="AL70" s="42"/>
      <c r="AM70" s="43"/>
      <c r="AN70" s="42"/>
      <c r="AO70" s="43"/>
      <c r="AP70" s="42"/>
      <c r="AQ70" s="43"/>
      <c r="AR70" s="42"/>
      <c r="AS70" s="43"/>
      <c r="AT70" s="42"/>
      <c r="AU70" s="43"/>
      <c r="AV70" s="42"/>
      <c r="AW70" s="81"/>
      <c r="AX70" s="94"/>
      <c r="AY70" s="42"/>
    </row>
    <row r="71" spans="1:52" s="51" customFormat="1" x14ac:dyDescent="0.25">
      <c r="A71" s="139"/>
      <c r="B71" s="44" t="s">
        <v>78</v>
      </c>
      <c r="C71" s="45"/>
      <c r="D71" s="46">
        <f>SUM(D68:D70)</f>
        <v>131.75</v>
      </c>
      <c r="E71" s="45"/>
      <c r="F71" s="47">
        <f>SUM(F68:F70)</f>
        <v>100.24000000000001</v>
      </c>
      <c r="G71" s="45"/>
      <c r="H71" s="48">
        <f>SUM(H68:H70)</f>
        <v>137.5</v>
      </c>
      <c r="I71" s="45"/>
      <c r="J71" s="48">
        <f>SUM(J68:J70)</f>
        <v>0</v>
      </c>
      <c r="K71" s="47"/>
      <c r="L71" s="47">
        <f>SUM(L68:L70)</f>
        <v>0</v>
      </c>
      <c r="M71" s="45"/>
      <c r="N71" s="48">
        <f>SUM(N68:N70)</f>
        <v>0</v>
      </c>
      <c r="O71" s="45"/>
      <c r="P71" s="48">
        <f>SUM(P68:P70)</f>
        <v>0</v>
      </c>
      <c r="Q71" s="45"/>
      <c r="R71" s="47">
        <f>SUM(R68:R70)</f>
        <v>0</v>
      </c>
      <c r="S71" s="45"/>
      <c r="T71" s="48">
        <f>SUM(T68:T70)</f>
        <v>0</v>
      </c>
      <c r="U71" s="45"/>
      <c r="V71" s="48">
        <f>SUM(V68:V70)</f>
        <v>0</v>
      </c>
      <c r="W71" s="45"/>
      <c r="X71" s="48">
        <f>SUM(X68:X70)</f>
        <v>0</v>
      </c>
      <c r="Y71" s="45"/>
      <c r="Z71" s="48">
        <f>SUM(Z68:Z70)</f>
        <v>0</v>
      </c>
      <c r="AA71" s="45"/>
      <c r="AB71" s="48">
        <f>SUM(AB68:AB70)</f>
        <v>0</v>
      </c>
      <c r="AC71" s="45"/>
      <c r="AD71" s="48">
        <f>SUM(AD68:AD70)</f>
        <v>0</v>
      </c>
      <c r="AE71" s="45"/>
      <c r="AF71" s="48">
        <f>SUM(AF68:AF70)</f>
        <v>0</v>
      </c>
      <c r="AG71" s="45"/>
      <c r="AH71" s="48">
        <f>SUM(AH68:AH70)</f>
        <v>0</v>
      </c>
      <c r="AI71" s="45"/>
      <c r="AJ71" s="48">
        <f>SUM(AJ68:AJ70)</f>
        <v>0</v>
      </c>
      <c r="AK71" s="45"/>
      <c r="AL71" s="48">
        <f>SUM(AL68:AL70)</f>
        <v>0</v>
      </c>
      <c r="AM71" s="45"/>
      <c r="AN71" s="48">
        <f>SUM(AN68:AN70)</f>
        <v>0</v>
      </c>
      <c r="AO71" s="45"/>
      <c r="AP71" s="48">
        <f>SUM(AP68:AP70)</f>
        <v>0</v>
      </c>
      <c r="AQ71" s="45"/>
      <c r="AR71" s="48">
        <f>SUM(AR68:AR70)</f>
        <v>0</v>
      </c>
      <c r="AS71" s="45"/>
      <c r="AT71" s="48">
        <f>SUM(AT68:AT70)</f>
        <v>0</v>
      </c>
      <c r="AU71" s="45"/>
      <c r="AV71" s="48">
        <f>SUM(AV68:AV70)</f>
        <v>0</v>
      </c>
      <c r="AW71" s="82"/>
      <c r="AX71" s="95">
        <f>SUM(AX68:AX70)</f>
        <v>369.49</v>
      </c>
      <c r="AY71" s="48">
        <f>SUM(AY68:AY70)</f>
        <v>350.2274881516588</v>
      </c>
    </row>
    <row r="72" spans="1:52" ht="15" customHeight="1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83"/>
      <c r="N72" s="83"/>
      <c r="O72" s="147"/>
      <c r="P72" s="147"/>
      <c r="Q72" s="83"/>
      <c r="R72" s="83"/>
      <c r="S72" s="83"/>
      <c r="T72" s="83"/>
      <c r="U72" s="83"/>
      <c r="V72" s="83"/>
      <c r="W72" s="32"/>
      <c r="X72" s="32"/>
      <c r="Y72" s="32"/>
      <c r="Z72" s="32"/>
      <c r="AA72" s="32"/>
      <c r="AB72" s="32"/>
      <c r="AC72" s="32"/>
      <c r="AD72" s="32"/>
      <c r="AE72" s="66"/>
      <c r="AF72" s="66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</sheetData>
  <mergeCells count="28">
    <mergeCell ref="A66:B66"/>
    <mergeCell ref="A68:A71"/>
    <mergeCell ref="O72:P72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FFFFFF"/>
  </sheetPr>
  <dimension ref="A1:BA72"/>
  <sheetViews>
    <sheetView windowProtection="1" zoomScaleNormal="100" workbookViewId="0">
      <pane xSplit="2" ySplit="2" topLeftCell="D3" activePane="bottomRight" state="frozen"/>
      <selection pane="topRight" activeCell="AG1" sqref="AG1"/>
      <selection pane="bottomLeft" activeCell="A30" sqref="A30"/>
      <selection pane="bottomRight" activeCell="AY29" sqref="AY29"/>
    </sheetView>
  </sheetViews>
  <sheetFormatPr baseColWidth="10" defaultColWidth="9.140625" defaultRowHeight="15" x14ac:dyDescent="0.25"/>
  <cols>
    <col min="1" max="1" width="29"/>
    <col min="2" max="2" width="9.85546875"/>
    <col min="3" max="3" width="8.7109375" style="1"/>
    <col min="4" max="4" width="10.85546875" style="2"/>
    <col min="5" max="5" width="8.7109375" style="1"/>
    <col min="6" max="6" width="10.85546875" style="2"/>
    <col min="7" max="7" width="8.7109375" style="1"/>
    <col min="8" max="8" width="10.85546875" style="2"/>
    <col min="9" max="9" width="8.7109375" style="1"/>
    <col min="10" max="12" width="10.85546875" style="2"/>
    <col min="13" max="13" width="8.7109375" style="1"/>
    <col min="14" max="14" width="10.140625" style="2"/>
    <col min="15" max="15" width="8.7109375" style="1"/>
    <col min="16" max="16" width="11.42578125" style="2"/>
    <col min="17" max="17" width="8.7109375" style="1"/>
    <col min="18" max="18" width="11.42578125" style="2"/>
    <col min="19" max="19" width="8.7109375" style="1"/>
    <col min="20" max="20" width="11.42578125" style="2"/>
    <col min="21" max="21" width="8.7109375" style="1"/>
    <col min="22" max="22" width="11.42578125" style="2"/>
    <col min="23" max="23" width="8.7109375" style="1"/>
    <col min="24" max="24" width="11.42578125" style="2"/>
    <col min="25" max="25" width="8.7109375" style="1"/>
    <col min="26" max="26" width="11.42578125" style="2"/>
    <col min="27" max="27" width="8.7109375" style="1"/>
    <col min="28" max="28" width="11.42578125" style="2"/>
    <col min="29" max="29" width="8.7109375" style="1"/>
    <col min="30" max="30" width="11.42578125" style="2"/>
    <col min="31" max="31" width="8.7109375" style="1"/>
    <col min="32" max="32" width="11.42578125" style="2"/>
    <col min="33" max="33" width="8.7109375" style="1"/>
    <col min="34" max="34" width="11.42578125" style="2"/>
    <col min="35" max="35" width="8.7109375" style="1"/>
    <col min="36" max="36" width="11.7109375" style="2"/>
    <col min="37" max="37" width="8.7109375" style="1"/>
    <col min="38" max="38" width="11.42578125" style="2"/>
    <col min="39" max="39" width="8.7109375" style="1"/>
    <col min="40" max="40" width="11.42578125" style="2"/>
    <col min="41" max="41" width="8.7109375" style="1"/>
    <col min="42" max="42" width="11.42578125" style="2"/>
    <col min="43" max="43" width="8.7109375" style="1"/>
    <col min="44" max="44" width="11.42578125" style="2"/>
    <col min="45" max="45" width="8.7109375" style="1"/>
    <col min="46" max="46" width="11.42578125" style="2"/>
    <col min="47" max="47" width="8.7109375" style="1"/>
    <col min="48" max="49" width="11.42578125" style="2"/>
    <col min="50" max="50" width="11.85546875"/>
    <col min="51" max="51" width="12.85546875"/>
    <col min="52" max="1025" width="10.7109375"/>
  </cols>
  <sheetData>
    <row r="1" spans="1:51" s="6" customFormat="1" ht="28.5" customHeight="1" x14ac:dyDescent="0.25">
      <c r="A1" s="3"/>
      <c r="B1" s="4" t="s">
        <v>0</v>
      </c>
      <c r="C1" s="136" t="s">
        <v>209</v>
      </c>
      <c r="D1" s="136"/>
      <c r="E1" s="136" t="s">
        <v>210</v>
      </c>
      <c r="F1" s="136"/>
      <c r="G1" s="136" t="s">
        <v>211</v>
      </c>
      <c r="H1" s="136"/>
      <c r="I1" s="136" t="s">
        <v>212</v>
      </c>
      <c r="J1" s="136"/>
      <c r="K1" s="145" t="s">
        <v>213</v>
      </c>
      <c r="L1" s="145"/>
      <c r="M1" s="136" t="s">
        <v>214</v>
      </c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67"/>
      <c r="AX1" s="146" t="s">
        <v>20</v>
      </c>
      <c r="AY1" s="146" t="s">
        <v>21</v>
      </c>
    </row>
    <row r="2" spans="1:51" x14ac:dyDescent="0.25">
      <c r="A2" s="7"/>
      <c r="B2" s="8"/>
      <c r="C2" s="9" t="s">
        <v>22</v>
      </c>
      <c r="D2" s="10" t="s">
        <v>23</v>
      </c>
      <c r="E2" s="9" t="s">
        <v>22</v>
      </c>
      <c r="F2" s="10" t="s">
        <v>23</v>
      </c>
      <c r="G2" s="9" t="s">
        <v>22</v>
      </c>
      <c r="H2" s="10" t="s">
        <v>23</v>
      </c>
      <c r="I2" s="9" t="s">
        <v>22</v>
      </c>
      <c r="J2" s="10" t="s">
        <v>23</v>
      </c>
      <c r="K2" s="68" t="s">
        <v>22</v>
      </c>
      <c r="L2" s="68" t="s">
        <v>23</v>
      </c>
      <c r="M2" s="9" t="s">
        <v>22</v>
      </c>
      <c r="N2" s="10" t="s">
        <v>23</v>
      </c>
      <c r="O2" s="9" t="s">
        <v>22</v>
      </c>
      <c r="P2" s="10" t="s">
        <v>23</v>
      </c>
      <c r="Q2" s="9" t="s">
        <v>22</v>
      </c>
      <c r="R2" s="10" t="s">
        <v>23</v>
      </c>
      <c r="S2" s="9" t="s">
        <v>22</v>
      </c>
      <c r="T2" s="10" t="s">
        <v>23</v>
      </c>
      <c r="U2" s="9" t="s">
        <v>22</v>
      </c>
      <c r="V2" s="10" t="s">
        <v>23</v>
      </c>
      <c r="W2" s="9" t="s">
        <v>22</v>
      </c>
      <c r="X2" s="10" t="s">
        <v>23</v>
      </c>
      <c r="Y2" s="9" t="s">
        <v>22</v>
      </c>
      <c r="Z2" s="10" t="s">
        <v>23</v>
      </c>
      <c r="AA2" s="9" t="s">
        <v>22</v>
      </c>
      <c r="AB2" s="10" t="s">
        <v>23</v>
      </c>
      <c r="AC2" s="9" t="s">
        <v>22</v>
      </c>
      <c r="AD2" s="10" t="s">
        <v>23</v>
      </c>
      <c r="AE2" s="9" t="s">
        <v>22</v>
      </c>
      <c r="AF2" s="10" t="s">
        <v>23</v>
      </c>
      <c r="AG2" s="9" t="s">
        <v>22</v>
      </c>
      <c r="AH2" s="10" t="s">
        <v>23</v>
      </c>
      <c r="AI2" s="9" t="s">
        <v>22</v>
      </c>
      <c r="AJ2" s="10" t="s">
        <v>23</v>
      </c>
      <c r="AK2" s="9" t="s">
        <v>22</v>
      </c>
      <c r="AL2" s="10" t="s">
        <v>23</v>
      </c>
      <c r="AM2" s="9" t="s">
        <v>22</v>
      </c>
      <c r="AN2" s="10" t="s">
        <v>23</v>
      </c>
      <c r="AO2" s="9" t="s">
        <v>22</v>
      </c>
      <c r="AP2" s="10" t="s">
        <v>23</v>
      </c>
      <c r="AQ2" s="9" t="s">
        <v>22</v>
      </c>
      <c r="AR2" s="10" t="s">
        <v>23</v>
      </c>
      <c r="AS2" s="9" t="s">
        <v>22</v>
      </c>
      <c r="AT2" s="10" t="s">
        <v>23</v>
      </c>
      <c r="AU2" s="9" t="s">
        <v>22</v>
      </c>
      <c r="AV2" s="10" t="s">
        <v>23</v>
      </c>
      <c r="AW2" s="69"/>
      <c r="AX2" s="146"/>
      <c r="AY2" s="146"/>
    </row>
    <row r="3" spans="1:51" s="18" customFormat="1" x14ac:dyDescent="0.25">
      <c r="A3" s="12" t="s">
        <v>24</v>
      </c>
      <c r="B3" s="13"/>
      <c r="C3" s="14"/>
      <c r="D3" s="15">
        <f>SUM(D4:D32)</f>
        <v>53</v>
      </c>
      <c r="E3" s="14"/>
      <c r="F3" s="15">
        <f>SUM(F4:F32)</f>
        <v>22.29</v>
      </c>
      <c r="G3" s="14"/>
      <c r="H3" s="15">
        <f>SUM(H4:H32)</f>
        <v>45.230000000000004</v>
      </c>
      <c r="I3" s="14"/>
      <c r="J3" s="15">
        <f>SUM(J4:J32)</f>
        <v>58.169999999999995</v>
      </c>
      <c r="K3" s="70"/>
      <c r="L3" s="70">
        <f>SUM(L4:L32)</f>
        <v>24.700000000000003</v>
      </c>
      <c r="M3" s="14"/>
      <c r="N3" s="15">
        <f>SUM(N4:N32)</f>
        <v>29.509999999999998</v>
      </c>
      <c r="O3" s="14"/>
      <c r="P3" s="15">
        <f>SUM(P4:P32)</f>
        <v>0</v>
      </c>
      <c r="Q3" s="14"/>
      <c r="R3" s="15">
        <f>SUM(R4:R32)</f>
        <v>0</v>
      </c>
      <c r="S3" s="14"/>
      <c r="T3" s="15">
        <f>SUM(T4:T32)</f>
        <v>0</v>
      </c>
      <c r="U3" s="14"/>
      <c r="V3" s="15">
        <f>SUM(V4:V32)</f>
        <v>0</v>
      </c>
      <c r="W3" s="14"/>
      <c r="X3" s="15">
        <f>SUM(X4:X32)</f>
        <v>0</v>
      </c>
      <c r="Y3" s="14"/>
      <c r="Z3" s="15">
        <f>SUM(Z4:Z32)</f>
        <v>0</v>
      </c>
      <c r="AA3" s="14"/>
      <c r="AB3" s="15">
        <f>SUM(AB4:AB32)</f>
        <v>0</v>
      </c>
      <c r="AC3" s="14"/>
      <c r="AD3" s="15">
        <f>SUM(AD4:AD32)</f>
        <v>0</v>
      </c>
      <c r="AE3" s="14"/>
      <c r="AF3" s="15">
        <f>SUM(AF4:AF32)</f>
        <v>0</v>
      </c>
      <c r="AG3" s="14"/>
      <c r="AH3" s="15">
        <f>SUM(AH4:AH32)</f>
        <v>0</v>
      </c>
      <c r="AI3" s="14"/>
      <c r="AJ3" s="15">
        <f>SUM(AJ4:AJ32)</f>
        <v>0</v>
      </c>
      <c r="AK3" s="14"/>
      <c r="AL3" s="15">
        <f>SUM(AL4:AL32)</f>
        <v>0</v>
      </c>
      <c r="AM3" s="14"/>
      <c r="AN3" s="15">
        <f>SUM(AN4:AN32)</f>
        <v>0</v>
      </c>
      <c r="AO3" s="14"/>
      <c r="AP3" s="15">
        <f>SUM(AP4:AP32)</f>
        <v>0</v>
      </c>
      <c r="AQ3" s="14"/>
      <c r="AR3" s="15">
        <f>SUM(AR4:AR32)</f>
        <v>0</v>
      </c>
      <c r="AS3" s="14"/>
      <c r="AT3" s="15">
        <f>SUM(AT4:AT32)</f>
        <v>0</v>
      </c>
      <c r="AU3" s="14"/>
      <c r="AV3" s="15">
        <f>SUM(AV4:AV32)</f>
        <v>0</v>
      </c>
      <c r="AX3" s="84">
        <f t="shared" ref="AX3:AX34" si="0">SUM(AV3,AT3,AR3,AP3,AN3,AL3,AJ3,AH3,AF3,AD3,AB3,Z3,X3,V3,T3,R3,P3,N3,L3,J3,H3,F3,D3)</f>
        <v>232.9</v>
      </c>
      <c r="AY3" s="15">
        <f t="shared" ref="AY3:AY34" si="1">AX3/1.055</f>
        <v>220.75829383886258</v>
      </c>
    </row>
    <row r="4" spans="1:51" x14ac:dyDescent="0.25">
      <c r="A4" s="19" t="s">
        <v>25</v>
      </c>
      <c r="B4" s="20" t="s">
        <v>26</v>
      </c>
      <c r="C4" s="21"/>
      <c r="D4"/>
      <c r="E4" s="21"/>
      <c r="F4" s="22"/>
      <c r="G4" s="21"/>
      <c r="H4" s="22"/>
      <c r="I4" s="21"/>
      <c r="J4" s="22"/>
      <c r="K4" s="72"/>
      <c r="L4" s="73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21"/>
      <c r="AJ4" s="22"/>
      <c r="AK4" s="21"/>
      <c r="AL4" s="22"/>
      <c r="AM4" s="21"/>
      <c r="AN4" s="22"/>
      <c r="AO4" s="21"/>
      <c r="AP4" s="22"/>
      <c r="AQ4" s="21"/>
      <c r="AR4" s="22"/>
      <c r="AS4" s="21"/>
      <c r="AT4" s="22"/>
      <c r="AU4" s="21"/>
      <c r="AV4" s="22"/>
      <c r="AW4"/>
      <c r="AX4" s="74">
        <f t="shared" si="0"/>
        <v>0</v>
      </c>
      <c r="AY4" s="22">
        <f t="shared" si="1"/>
        <v>0</v>
      </c>
    </row>
    <row r="5" spans="1:51" x14ac:dyDescent="0.25">
      <c r="A5" s="19" t="s">
        <v>27</v>
      </c>
      <c r="B5" s="20" t="s">
        <v>26</v>
      </c>
      <c r="C5" s="21"/>
      <c r="D5" s="22"/>
      <c r="E5" s="21"/>
      <c r="F5" s="22"/>
      <c r="G5" s="21"/>
      <c r="H5" s="22"/>
      <c r="I5" s="21"/>
      <c r="J5" s="22"/>
      <c r="K5" s="72"/>
      <c r="L5" s="73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/>
      <c r="AX5" s="74">
        <f t="shared" si="0"/>
        <v>0</v>
      </c>
      <c r="AY5" s="22">
        <f t="shared" si="1"/>
        <v>0</v>
      </c>
    </row>
    <row r="6" spans="1:51" x14ac:dyDescent="0.25">
      <c r="A6" s="19" t="s">
        <v>28</v>
      </c>
      <c r="B6" s="20" t="s">
        <v>26</v>
      </c>
      <c r="C6" s="21"/>
      <c r="D6" s="22"/>
      <c r="E6" s="21"/>
      <c r="F6" s="22"/>
      <c r="G6" s="21"/>
      <c r="H6" s="22"/>
      <c r="I6" s="21"/>
      <c r="J6" s="22"/>
      <c r="K6" s="72"/>
      <c r="L6" s="73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24"/>
      <c r="AJ6" s="22"/>
      <c r="AK6" s="21"/>
      <c r="AL6" s="22"/>
      <c r="AM6" s="21"/>
      <c r="AN6" s="22"/>
      <c r="AO6" s="21"/>
      <c r="AP6" s="22"/>
      <c r="AQ6" s="21"/>
      <c r="AR6" s="22"/>
      <c r="AS6" s="21"/>
      <c r="AT6" s="22"/>
      <c r="AU6" s="21"/>
      <c r="AV6" s="22"/>
      <c r="AW6"/>
      <c r="AX6" s="74">
        <f t="shared" si="0"/>
        <v>0</v>
      </c>
      <c r="AY6" s="22">
        <f t="shared" si="1"/>
        <v>0</v>
      </c>
    </row>
    <row r="7" spans="1:51" x14ac:dyDescent="0.25">
      <c r="A7" s="19" t="s">
        <v>29</v>
      </c>
      <c r="B7" s="20" t="s">
        <v>26</v>
      </c>
      <c r="C7" s="21"/>
      <c r="D7" s="22"/>
      <c r="E7" s="21"/>
      <c r="F7" s="22"/>
      <c r="G7" s="21"/>
      <c r="H7" s="22"/>
      <c r="I7" s="21"/>
      <c r="J7" s="22"/>
      <c r="K7" s="85"/>
      <c r="L7" s="73"/>
      <c r="M7" s="21"/>
      <c r="N7" s="22"/>
      <c r="O7" s="21"/>
      <c r="P7" s="22"/>
      <c r="Q7" s="21"/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1"/>
      <c r="AD7" s="22"/>
      <c r="AE7" s="21"/>
      <c r="AF7" s="22"/>
      <c r="AG7" s="21"/>
      <c r="AH7" s="22"/>
      <c r="AI7" s="21"/>
      <c r="AJ7" s="22"/>
      <c r="AK7" s="21"/>
      <c r="AL7" s="22"/>
      <c r="AM7" s="21"/>
      <c r="AN7" s="22"/>
      <c r="AO7" s="21"/>
      <c r="AP7" s="22"/>
      <c r="AQ7" s="21"/>
      <c r="AR7" s="22"/>
      <c r="AS7" s="21"/>
      <c r="AT7" s="22"/>
      <c r="AU7" s="21"/>
      <c r="AV7" s="22"/>
      <c r="AW7"/>
      <c r="AX7" s="74">
        <f t="shared" si="0"/>
        <v>0</v>
      </c>
      <c r="AY7" s="22">
        <f t="shared" si="1"/>
        <v>0</v>
      </c>
    </row>
    <row r="8" spans="1:51" x14ac:dyDescent="0.25">
      <c r="A8" s="19" t="s">
        <v>102</v>
      </c>
      <c r="B8" s="20" t="s">
        <v>26</v>
      </c>
      <c r="C8" s="21"/>
      <c r="D8" s="22"/>
      <c r="E8" s="21"/>
      <c r="F8" s="22"/>
      <c r="G8" s="21"/>
      <c r="H8" s="22"/>
      <c r="I8" s="21"/>
      <c r="J8" s="22"/>
      <c r="K8" s="85"/>
      <c r="L8" s="73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21"/>
      <c r="AJ8" s="22"/>
      <c r="AK8" s="21"/>
      <c r="AL8" s="22"/>
      <c r="AM8" s="21"/>
      <c r="AN8" s="22"/>
      <c r="AO8" s="21"/>
      <c r="AP8" s="22"/>
      <c r="AQ8" s="21"/>
      <c r="AR8" s="22"/>
      <c r="AS8" s="21"/>
      <c r="AT8" s="22"/>
      <c r="AU8" s="21"/>
      <c r="AV8" s="22"/>
      <c r="AW8"/>
      <c r="AX8" s="74">
        <f t="shared" si="0"/>
        <v>0</v>
      </c>
      <c r="AY8" s="22">
        <f t="shared" si="1"/>
        <v>0</v>
      </c>
    </row>
    <row r="9" spans="1:51" x14ac:dyDescent="0.25">
      <c r="A9" s="19" t="s">
        <v>104</v>
      </c>
      <c r="B9" s="20" t="s">
        <v>26</v>
      </c>
      <c r="C9" s="21"/>
      <c r="D9" s="22"/>
      <c r="E9" s="21"/>
      <c r="F9" s="22"/>
      <c r="G9" s="21"/>
      <c r="H9" s="22"/>
      <c r="I9" s="21"/>
      <c r="J9" s="22"/>
      <c r="K9" s="85"/>
      <c r="L9" s="73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1"/>
      <c r="AD9" s="22"/>
      <c r="AE9" s="21"/>
      <c r="AF9" s="22"/>
      <c r="AG9" s="21"/>
      <c r="AH9" s="22"/>
      <c r="AI9" s="21"/>
      <c r="AJ9" s="22"/>
      <c r="AK9" s="21"/>
      <c r="AL9" s="22"/>
      <c r="AM9" s="21"/>
      <c r="AN9" s="22"/>
      <c r="AO9" s="21"/>
      <c r="AP9" s="22"/>
      <c r="AQ9" s="21"/>
      <c r="AR9" s="22"/>
      <c r="AS9" s="21"/>
      <c r="AT9" s="22"/>
      <c r="AU9" s="21"/>
      <c r="AV9" s="22"/>
      <c r="AW9"/>
      <c r="AX9" s="74">
        <f t="shared" si="0"/>
        <v>0</v>
      </c>
      <c r="AY9" s="22">
        <f t="shared" si="1"/>
        <v>0</v>
      </c>
    </row>
    <row r="10" spans="1:51" x14ac:dyDescent="0.25">
      <c r="A10" s="19" t="s">
        <v>31</v>
      </c>
      <c r="B10" s="20" t="s">
        <v>26</v>
      </c>
      <c r="C10" s="21"/>
      <c r="D10" s="22"/>
      <c r="E10" s="21"/>
      <c r="F10" s="22"/>
      <c r="G10" s="21"/>
      <c r="H10" s="22"/>
      <c r="I10" s="21"/>
      <c r="J10" s="22"/>
      <c r="K10" s="72"/>
      <c r="L10" s="73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21"/>
      <c r="AJ10" s="22"/>
      <c r="AK10" s="21"/>
      <c r="AL10" s="22"/>
      <c r="AM10" s="21"/>
      <c r="AN10" s="22"/>
      <c r="AO10" s="21"/>
      <c r="AP10" s="22"/>
      <c r="AQ10" s="21"/>
      <c r="AR10" s="22"/>
      <c r="AS10" s="21"/>
      <c r="AT10" s="22"/>
      <c r="AU10" s="21"/>
      <c r="AV10" s="22"/>
      <c r="AW10"/>
      <c r="AX10" s="74">
        <f t="shared" si="0"/>
        <v>0</v>
      </c>
      <c r="AY10" s="22">
        <f t="shared" si="1"/>
        <v>0</v>
      </c>
    </row>
    <row r="11" spans="1:51" x14ac:dyDescent="0.25">
      <c r="A11" s="19" t="s">
        <v>103</v>
      </c>
      <c r="B11" s="20" t="s">
        <v>26</v>
      </c>
      <c r="C11" s="21"/>
      <c r="D11" s="22"/>
      <c r="E11" s="21"/>
      <c r="F11" s="22"/>
      <c r="G11" s="21"/>
      <c r="H11" s="22"/>
      <c r="I11" s="21"/>
      <c r="J11" s="22"/>
      <c r="K11" s="85"/>
      <c r="L11" s="73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/>
      <c r="AX11" s="74">
        <f t="shared" si="0"/>
        <v>0</v>
      </c>
      <c r="AY11" s="22">
        <f t="shared" si="1"/>
        <v>0</v>
      </c>
    </row>
    <row r="12" spans="1:51" x14ac:dyDescent="0.25">
      <c r="A12" s="19" t="s">
        <v>32</v>
      </c>
      <c r="B12" s="20" t="s">
        <v>106</v>
      </c>
      <c r="C12" s="21"/>
      <c r="D12" s="22"/>
      <c r="E12" s="21"/>
      <c r="F12" s="22"/>
      <c r="G12" s="21"/>
      <c r="H12" s="22"/>
      <c r="I12" s="21"/>
      <c r="J12" s="22"/>
      <c r="K12" s="85"/>
      <c r="L12" s="73"/>
      <c r="M12" s="21"/>
      <c r="N12" s="22"/>
      <c r="O12" s="25"/>
      <c r="P12" s="22"/>
      <c r="Q12" s="21"/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1"/>
      <c r="AD12" s="22"/>
      <c r="AE12" s="21"/>
      <c r="AF12" s="22"/>
      <c r="AG12" s="21"/>
      <c r="AH12" s="22"/>
      <c r="AI12" s="21"/>
      <c r="AJ12" s="22"/>
      <c r="AK12" s="21"/>
      <c r="AL12" s="22"/>
      <c r="AM12" s="21"/>
      <c r="AN12" s="22"/>
      <c r="AO12" s="21"/>
      <c r="AP12" s="22"/>
      <c r="AQ12" s="21"/>
      <c r="AR12" s="22"/>
      <c r="AS12" s="21"/>
      <c r="AT12" s="22"/>
      <c r="AU12" s="21"/>
      <c r="AV12" s="22"/>
      <c r="AW12"/>
      <c r="AX12" s="74">
        <f t="shared" si="0"/>
        <v>0</v>
      </c>
      <c r="AY12" s="22">
        <f t="shared" si="1"/>
        <v>0</v>
      </c>
    </row>
    <row r="13" spans="1:51" x14ac:dyDescent="0.25">
      <c r="A13" s="19" t="s">
        <v>107</v>
      </c>
      <c r="B13" s="20" t="s">
        <v>34</v>
      </c>
      <c r="C13" s="21"/>
      <c r="D13" s="22"/>
      <c r="E13" s="21"/>
      <c r="F13" s="22"/>
      <c r="G13" s="21"/>
      <c r="H13" s="22"/>
      <c r="I13" s="21"/>
      <c r="J13" s="22"/>
      <c r="K13" s="85"/>
      <c r="L13" s="73"/>
      <c r="M13" s="21"/>
      <c r="N13" s="22"/>
      <c r="O13" s="25"/>
      <c r="P13" s="22"/>
      <c r="Q13" s="25"/>
      <c r="R13" s="22"/>
      <c r="S13" s="21"/>
      <c r="T13" s="22"/>
      <c r="U13" s="25"/>
      <c r="V13" s="22"/>
      <c r="W13" s="21"/>
      <c r="X13" s="22"/>
      <c r="Y13" s="21"/>
      <c r="Z13" s="22"/>
      <c r="AA13" s="25"/>
      <c r="AB13" s="22"/>
      <c r="AC13" s="21"/>
      <c r="AD13" s="22"/>
      <c r="AE13" s="21"/>
      <c r="AF13" s="22"/>
      <c r="AG13" s="25"/>
      <c r="AH13" s="22"/>
      <c r="AI13" s="21"/>
      <c r="AJ13" s="22"/>
      <c r="AK13" s="25"/>
      <c r="AL13" s="22"/>
      <c r="AM13" s="21"/>
      <c r="AN13" s="22"/>
      <c r="AO13" s="25"/>
      <c r="AP13" s="22"/>
      <c r="AQ13" s="21"/>
      <c r="AR13" s="22"/>
      <c r="AS13" s="21"/>
      <c r="AT13" s="22"/>
      <c r="AU13" s="25"/>
      <c r="AV13" s="22"/>
      <c r="AW13"/>
      <c r="AX13" s="74">
        <f t="shared" si="0"/>
        <v>0</v>
      </c>
      <c r="AY13" s="22">
        <f t="shared" si="1"/>
        <v>0</v>
      </c>
    </row>
    <row r="14" spans="1:51" x14ac:dyDescent="0.25">
      <c r="A14" s="19" t="s">
        <v>108</v>
      </c>
      <c r="B14" s="20" t="s">
        <v>109</v>
      </c>
      <c r="C14" s="21"/>
      <c r="D14" s="22"/>
      <c r="E14" s="21"/>
      <c r="F14" s="22"/>
      <c r="G14" s="21"/>
      <c r="H14" s="22"/>
      <c r="I14" s="25"/>
      <c r="J14" s="22"/>
      <c r="K14" s="85"/>
      <c r="L14" s="73"/>
      <c r="M14" s="21"/>
      <c r="N14" s="22"/>
      <c r="O14" s="21"/>
      <c r="P14" s="22"/>
      <c r="Q14" s="25"/>
      <c r="R14" s="22"/>
      <c r="S14" s="21"/>
      <c r="T14" s="22"/>
      <c r="U14" s="25"/>
      <c r="V14" s="22"/>
      <c r="W14" s="21"/>
      <c r="X14" s="22"/>
      <c r="Y14" s="21"/>
      <c r="Z14" s="22"/>
      <c r="AA14" s="25"/>
      <c r="AB14" s="22"/>
      <c r="AC14" s="21"/>
      <c r="AD14" s="22"/>
      <c r="AE14" s="21"/>
      <c r="AF14" s="22"/>
      <c r="AG14" s="25"/>
      <c r="AH14" s="22"/>
      <c r="AI14" s="21"/>
      <c r="AJ14" s="22"/>
      <c r="AK14" s="25"/>
      <c r="AL14" s="22"/>
      <c r="AM14" s="21"/>
      <c r="AN14" s="22"/>
      <c r="AO14" s="25"/>
      <c r="AP14" s="22"/>
      <c r="AQ14" s="21"/>
      <c r="AR14" s="22"/>
      <c r="AS14" s="21"/>
      <c r="AT14" s="22"/>
      <c r="AU14" s="25"/>
      <c r="AV14" s="22"/>
      <c r="AW14"/>
      <c r="AX14" s="74">
        <f t="shared" si="0"/>
        <v>0</v>
      </c>
      <c r="AY14" s="22">
        <f t="shared" si="1"/>
        <v>0</v>
      </c>
    </row>
    <row r="15" spans="1:51" x14ac:dyDescent="0.25">
      <c r="A15" s="19" t="s">
        <v>33</v>
      </c>
      <c r="B15" s="20" t="s">
        <v>34</v>
      </c>
      <c r="C15" s="25"/>
      <c r="D15" s="22"/>
      <c r="E15" s="25"/>
      <c r="F15" s="22"/>
      <c r="G15" s="25"/>
      <c r="H15" s="22"/>
      <c r="I15" s="25"/>
      <c r="J15" s="22"/>
      <c r="K15" s="85"/>
      <c r="L15" s="73"/>
      <c r="M15" s="25"/>
      <c r="N15" s="22"/>
      <c r="O15" s="25"/>
      <c r="P15" s="22"/>
      <c r="Q15" s="25"/>
      <c r="R15" s="22"/>
      <c r="S15" s="25"/>
      <c r="T15" s="22"/>
      <c r="U15" s="25"/>
      <c r="V15" s="22"/>
      <c r="W15" s="25"/>
      <c r="X15" s="22"/>
      <c r="Y15" s="25"/>
      <c r="Z15" s="22"/>
      <c r="AA15" s="25"/>
      <c r="AB15" s="22"/>
      <c r="AC15" s="25"/>
      <c r="AD15" s="22"/>
      <c r="AE15" s="25"/>
      <c r="AF15" s="22"/>
      <c r="AG15" s="25"/>
      <c r="AH15" s="22"/>
      <c r="AI15" s="25"/>
      <c r="AJ15" s="22"/>
      <c r="AK15" s="25"/>
      <c r="AL15" s="22"/>
      <c r="AM15" s="25"/>
      <c r="AN15" s="22"/>
      <c r="AO15" s="25"/>
      <c r="AP15" s="22"/>
      <c r="AQ15" s="25"/>
      <c r="AR15" s="22"/>
      <c r="AS15" s="25"/>
      <c r="AT15" s="22"/>
      <c r="AU15" s="25"/>
      <c r="AV15" s="22"/>
      <c r="AW15"/>
      <c r="AX15" s="74">
        <f t="shared" si="0"/>
        <v>0</v>
      </c>
      <c r="AY15" s="22">
        <f t="shared" si="1"/>
        <v>0</v>
      </c>
    </row>
    <row r="16" spans="1:51" x14ac:dyDescent="0.25">
      <c r="A16" s="19" t="s">
        <v>35</v>
      </c>
      <c r="B16" s="20" t="s">
        <v>34</v>
      </c>
      <c r="C16" s="25"/>
      <c r="D16" s="22"/>
      <c r="E16" s="25"/>
      <c r="F16" s="22"/>
      <c r="G16" s="25"/>
      <c r="H16" s="22"/>
      <c r="I16" s="25"/>
      <c r="J16" s="22"/>
      <c r="K16" s="85"/>
      <c r="L16" s="73"/>
      <c r="M16" s="25"/>
      <c r="N16" s="22"/>
      <c r="O16" s="25"/>
      <c r="P16" s="22"/>
      <c r="Q16" s="25"/>
      <c r="R16" s="22"/>
      <c r="S16" s="25"/>
      <c r="T16" s="22"/>
      <c r="U16" s="25"/>
      <c r="V16" s="22"/>
      <c r="W16" s="25"/>
      <c r="X16" s="22"/>
      <c r="Y16" s="25"/>
      <c r="Z16" s="22"/>
      <c r="AA16" s="25"/>
      <c r="AB16" s="22"/>
      <c r="AC16" s="25"/>
      <c r="AD16" s="22"/>
      <c r="AE16" s="25"/>
      <c r="AF16" s="22"/>
      <c r="AG16" s="25"/>
      <c r="AH16" s="22"/>
      <c r="AI16" s="25"/>
      <c r="AJ16" s="22"/>
      <c r="AK16" s="25"/>
      <c r="AL16" s="22"/>
      <c r="AM16" s="25"/>
      <c r="AN16" s="22"/>
      <c r="AO16" s="25"/>
      <c r="AP16" s="22"/>
      <c r="AQ16" s="25"/>
      <c r="AR16" s="22"/>
      <c r="AS16" s="25"/>
      <c r="AT16" s="22"/>
      <c r="AU16" s="25"/>
      <c r="AV16" s="22"/>
      <c r="AW16"/>
      <c r="AX16" s="74">
        <f t="shared" si="0"/>
        <v>0</v>
      </c>
      <c r="AY16" s="22">
        <f t="shared" si="1"/>
        <v>0</v>
      </c>
    </row>
    <row r="17" spans="1:51" x14ac:dyDescent="0.25">
      <c r="A17" s="19" t="s">
        <v>36</v>
      </c>
      <c r="B17" s="20" t="s">
        <v>34</v>
      </c>
      <c r="C17" s="25"/>
      <c r="D17" s="22"/>
      <c r="E17" s="25"/>
      <c r="F17" s="22"/>
      <c r="G17" s="25"/>
      <c r="H17" s="22"/>
      <c r="I17" s="25"/>
      <c r="J17" s="22"/>
      <c r="K17" s="85"/>
      <c r="L17" s="73"/>
      <c r="M17" s="25"/>
      <c r="N17" s="22"/>
      <c r="O17" s="25"/>
      <c r="P17" s="22"/>
      <c r="Q17" s="25"/>
      <c r="R17" s="22"/>
      <c r="S17" s="25"/>
      <c r="T17" s="22"/>
      <c r="U17" s="25"/>
      <c r="V17" s="22"/>
      <c r="W17" s="25"/>
      <c r="X17" s="22"/>
      <c r="Y17" s="25"/>
      <c r="Z17" s="22"/>
      <c r="AA17" s="25"/>
      <c r="AB17" s="22"/>
      <c r="AC17" s="25"/>
      <c r="AD17" s="22"/>
      <c r="AE17" s="25"/>
      <c r="AF17" s="22"/>
      <c r="AG17" s="25"/>
      <c r="AH17" s="22"/>
      <c r="AI17" s="25"/>
      <c r="AJ17" s="22"/>
      <c r="AK17" s="25"/>
      <c r="AL17" s="22"/>
      <c r="AM17" s="25"/>
      <c r="AN17" s="22"/>
      <c r="AO17" s="25"/>
      <c r="AP17" s="22"/>
      <c r="AQ17" s="25"/>
      <c r="AR17" s="22"/>
      <c r="AS17" s="25"/>
      <c r="AT17" s="22"/>
      <c r="AU17" s="25"/>
      <c r="AV17" s="22"/>
      <c r="AW17"/>
      <c r="AX17" s="74">
        <f t="shared" si="0"/>
        <v>0</v>
      </c>
      <c r="AY17" s="22">
        <f t="shared" si="1"/>
        <v>0</v>
      </c>
    </row>
    <row r="18" spans="1:51" x14ac:dyDescent="0.25">
      <c r="A18" s="19" t="s">
        <v>37</v>
      </c>
      <c r="B18" s="20" t="s">
        <v>34</v>
      </c>
      <c r="C18" s="25"/>
      <c r="D18" s="22"/>
      <c r="E18" s="25"/>
      <c r="F18" s="22"/>
      <c r="G18" s="25"/>
      <c r="H18" s="22"/>
      <c r="I18" s="25"/>
      <c r="J18" s="22"/>
      <c r="K18" s="85"/>
      <c r="L18" s="73"/>
      <c r="M18" s="25"/>
      <c r="N18" s="22"/>
      <c r="O18" s="25"/>
      <c r="P18" s="22"/>
      <c r="Q18" s="25"/>
      <c r="R18" s="22"/>
      <c r="S18" s="25"/>
      <c r="T18" s="22"/>
      <c r="U18" s="25"/>
      <c r="V18" s="22"/>
      <c r="W18" s="25"/>
      <c r="X18" s="22"/>
      <c r="Y18" s="25"/>
      <c r="Z18" s="22"/>
      <c r="AA18" s="25"/>
      <c r="AB18" s="22"/>
      <c r="AC18" s="25"/>
      <c r="AD18" s="22"/>
      <c r="AE18" s="25"/>
      <c r="AF18" s="22"/>
      <c r="AG18" s="25"/>
      <c r="AH18" s="22"/>
      <c r="AI18" s="25"/>
      <c r="AJ18" s="22"/>
      <c r="AK18" s="25"/>
      <c r="AL18" s="22"/>
      <c r="AM18" s="25"/>
      <c r="AN18" s="22"/>
      <c r="AO18" s="25"/>
      <c r="AP18" s="22"/>
      <c r="AQ18" s="25"/>
      <c r="AR18" s="22"/>
      <c r="AS18" s="25"/>
      <c r="AT18" s="22"/>
      <c r="AU18" s="25"/>
      <c r="AV18" s="22"/>
      <c r="AW18"/>
      <c r="AX18" s="74">
        <f t="shared" si="0"/>
        <v>0</v>
      </c>
      <c r="AY18" s="22">
        <f t="shared" si="1"/>
        <v>0</v>
      </c>
    </row>
    <row r="19" spans="1:51" x14ac:dyDescent="0.25">
      <c r="A19" s="19" t="s">
        <v>38</v>
      </c>
      <c r="B19" s="20" t="s">
        <v>34</v>
      </c>
      <c r="C19" s="25"/>
      <c r="D19" s="22"/>
      <c r="E19" s="25"/>
      <c r="F19" s="22"/>
      <c r="G19" s="25"/>
      <c r="H19" s="22"/>
      <c r="I19" s="25"/>
      <c r="J19" s="22"/>
      <c r="K19" s="85"/>
      <c r="L19" s="73"/>
      <c r="M19" s="25"/>
      <c r="N19" s="22"/>
      <c r="O19" s="25"/>
      <c r="P19" s="22"/>
      <c r="Q19" s="25"/>
      <c r="R19" s="22"/>
      <c r="S19" s="25"/>
      <c r="T19" s="22"/>
      <c r="U19" s="25"/>
      <c r="V19" s="22"/>
      <c r="W19" s="25"/>
      <c r="X19" s="22"/>
      <c r="Y19" s="25"/>
      <c r="Z19" s="22"/>
      <c r="AA19" s="25"/>
      <c r="AB19" s="22"/>
      <c r="AC19" s="25"/>
      <c r="AD19" s="22"/>
      <c r="AE19" s="25"/>
      <c r="AF19" s="22"/>
      <c r="AG19" s="25"/>
      <c r="AH19" s="22"/>
      <c r="AI19" s="25"/>
      <c r="AJ19" s="22"/>
      <c r="AK19" s="25"/>
      <c r="AL19" s="22"/>
      <c r="AM19" s="25"/>
      <c r="AN19" s="22"/>
      <c r="AO19" s="25"/>
      <c r="AP19" s="22"/>
      <c r="AQ19" s="25"/>
      <c r="AR19" s="22"/>
      <c r="AS19" s="25"/>
      <c r="AT19" s="22"/>
      <c r="AU19" s="25"/>
      <c r="AV19" s="22"/>
      <c r="AW19"/>
      <c r="AX19" s="74">
        <f t="shared" si="0"/>
        <v>0</v>
      </c>
      <c r="AY19" s="22">
        <f t="shared" si="1"/>
        <v>0</v>
      </c>
    </row>
    <row r="20" spans="1:51" x14ac:dyDescent="0.25">
      <c r="A20" s="19" t="s">
        <v>39</v>
      </c>
      <c r="B20" s="20" t="s">
        <v>34</v>
      </c>
      <c r="C20"/>
      <c r="D20" s="22"/>
      <c r="E20"/>
      <c r="F20" s="22"/>
      <c r="G20"/>
      <c r="H20" s="22"/>
      <c r="I20"/>
      <c r="J20" s="22"/>
      <c r="K20" s="85"/>
      <c r="L20" s="22"/>
      <c r="M20"/>
      <c r="N20" s="22"/>
      <c r="O20"/>
      <c r="P20" s="22"/>
      <c r="Q20"/>
      <c r="R20" s="22"/>
      <c r="S20"/>
      <c r="T20" s="22"/>
      <c r="U20"/>
      <c r="V20" s="22"/>
      <c r="W20"/>
      <c r="X20" s="22"/>
      <c r="Y20"/>
      <c r="Z20" s="22"/>
      <c r="AA20"/>
      <c r="AB20" s="22"/>
      <c r="AC20"/>
      <c r="AD20" s="22"/>
      <c r="AE20"/>
      <c r="AF20" s="22"/>
      <c r="AG20"/>
      <c r="AH20" s="22"/>
      <c r="AI20"/>
      <c r="AJ20" s="22"/>
      <c r="AK20"/>
      <c r="AL20" s="22"/>
      <c r="AM20"/>
      <c r="AN20" s="22"/>
      <c r="AO20"/>
      <c r="AP20" s="22"/>
      <c r="AQ20"/>
      <c r="AR20" s="22"/>
      <c r="AS20"/>
      <c r="AT20" s="22"/>
      <c r="AU20"/>
      <c r="AV20" s="22"/>
      <c r="AW20"/>
      <c r="AX20" s="74">
        <f t="shared" si="0"/>
        <v>0</v>
      </c>
      <c r="AY20" s="22">
        <f t="shared" si="1"/>
        <v>0</v>
      </c>
    </row>
    <row r="21" spans="1:51" x14ac:dyDescent="0.25">
      <c r="A21" s="19" t="s">
        <v>40</v>
      </c>
      <c r="B21" s="20" t="s">
        <v>34</v>
      </c>
      <c r="C21" s="25"/>
      <c r="D21" s="22"/>
      <c r="E21" s="25"/>
      <c r="F21" s="22"/>
      <c r="G21" s="25"/>
      <c r="H21" s="22"/>
      <c r="I21" s="25"/>
      <c r="J21" s="22"/>
      <c r="K21" s="85"/>
      <c r="L21" s="73"/>
      <c r="M21" s="25"/>
      <c r="N21" s="22"/>
      <c r="O21" s="25"/>
      <c r="P21" s="22"/>
      <c r="Q21" s="25"/>
      <c r="R21" s="22"/>
      <c r="S21" s="25"/>
      <c r="T21" s="22"/>
      <c r="U21" s="25"/>
      <c r="V21" s="22"/>
      <c r="W21" s="25"/>
      <c r="X21" s="22"/>
      <c r="Y21" s="25"/>
      <c r="Z21" s="22"/>
      <c r="AA21" s="25"/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5"/>
      <c r="AN21" s="22"/>
      <c r="AO21" s="25"/>
      <c r="AP21" s="22"/>
      <c r="AQ21" s="25"/>
      <c r="AR21" s="22"/>
      <c r="AS21" s="25"/>
      <c r="AT21" s="22"/>
      <c r="AU21" s="25"/>
      <c r="AV21" s="22"/>
      <c r="AW21"/>
      <c r="AX21" s="74">
        <f t="shared" si="0"/>
        <v>0</v>
      </c>
      <c r="AY21" s="22">
        <f t="shared" si="1"/>
        <v>0</v>
      </c>
    </row>
    <row r="22" spans="1:51" x14ac:dyDescent="0.25">
      <c r="A22" s="19" t="s">
        <v>30</v>
      </c>
      <c r="B22" s="20" t="s">
        <v>26</v>
      </c>
      <c r="C22" s="21"/>
      <c r="D22" s="22"/>
      <c r="E22" s="21"/>
      <c r="F22" s="22"/>
      <c r="G22" s="21"/>
      <c r="H22" s="22"/>
      <c r="I22" s="21"/>
      <c r="J22" s="22"/>
      <c r="K22" s="72"/>
      <c r="L22" s="73"/>
      <c r="M22" s="21"/>
      <c r="N22" s="22"/>
      <c r="O22" s="21"/>
      <c r="P22" s="22"/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2"/>
      <c r="AO22" s="21"/>
      <c r="AP22" s="22"/>
      <c r="AQ22" s="21"/>
      <c r="AR22" s="22"/>
      <c r="AS22" s="21"/>
      <c r="AT22" s="22"/>
      <c r="AU22" s="21"/>
      <c r="AV22" s="22"/>
      <c r="AW22"/>
      <c r="AX22" s="74">
        <f t="shared" si="0"/>
        <v>0</v>
      </c>
      <c r="AY22" s="22">
        <f t="shared" si="1"/>
        <v>0</v>
      </c>
    </row>
    <row r="23" spans="1:51" x14ac:dyDescent="0.25">
      <c r="A23" s="19" t="s">
        <v>105</v>
      </c>
      <c r="B23" s="20" t="s">
        <v>26</v>
      </c>
      <c r="C23" s="21"/>
      <c r="D23" s="22"/>
      <c r="E23" s="21"/>
      <c r="F23" s="22"/>
      <c r="G23" s="21"/>
      <c r="H23" s="22"/>
      <c r="I23" s="21"/>
      <c r="J23" s="22"/>
      <c r="K23" s="85"/>
      <c r="L23" s="73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2"/>
      <c r="AO23" s="21"/>
      <c r="AP23" s="22"/>
      <c r="AQ23" s="21"/>
      <c r="AR23" s="22"/>
      <c r="AS23" s="21"/>
      <c r="AT23" s="22"/>
      <c r="AU23" s="21"/>
      <c r="AV23" s="22"/>
      <c r="AW23"/>
      <c r="AX23" s="74">
        <f t="shared" si="0"/>
        <v>0</v>
      </c>
      <c r="AY23" s="22">
        <f t="shared" si="1"/>
        <v>0</v>
      </c>
    </row>
    <row r="24" spans="1:51" x14ac:dyDescent="0.25">
      <c r="A24" s="19" t="s">
        <v>41</v>
      </c>
      <c r="B24" s="20" t="s">
        <v>34</v>
      </c>
      <c r="C24" s="25"/>
      <c r="D24" s="22"/>
      <c r="E24" s="25"/>
      <c r="F24" s="22"/>
      <c r="G24" s="25"/>
      <c r="H24" s="22"/>
      <c r="I24" s="25"/>
      <c r="J24" s="22"/>
      <c r="K24" s="85"/>
      <c r="L24" s="73"/>
      <c r="M24" s="25"/>
      <c r="N24" s="22"/>
      <c r="O24" s="25"/>
      <c r="P24" s="22"/>
      <c r="Q24" s="25"/>
      <c r="R24" s="22"/>
      <c r="S24" s="25"/>
      <c r="T24" s="22"/>
      <c r="U24" s="25"/>
      <c r="V24" s="22"/>
      <c r="W24" s="25"/>
      <c r="X24" s="22"/>
      <c r="Y24" s="25"/>
      <c r="Z24" s="22"/>
      <c r="AA24" s="25"/>
      <c r="AB24" s="22"/>
      <c r="AC24" s="25"/>
      <c r="AD24" s="22"/>
      <c r="AE24" s="25"/>
      <c r="AF24" s="22"/>
      <c r="AG24" s="25"/>
      <c r="AH24" s="22"/>
      <c r="AI24" s="25"/>
      <c r="AJ24" s="22"/>
      <c r="AK24" s="25"/>
      <c r="AL24" s="22"/>
      <c r="AM24" s="25"/>
      <c r="AN24" s="22"/>
      <c r="AO24" s="25"/>
      <c r="AP24" s="22"/>
      <c r="AQ24" s="25"/>
      <c r="AR24" s="22"/>
      <c r="AS24" s="25"/>
      <c r="AT24" s="22"/>
      <c r="AU24" s="25"/>
      <c r="AV24" s="22"/>
      <c r="AW24"/>
      <c r="AX24" s="74">
        <f t="shared" si="0"/>
        <v>0</v>
      </c>
      <c r="AY24" s="22">
        <f t="shared" si="1"/>
        <v>0</v>
      </c>
    </row>
    <row r="25" spans="1:51" x14ac:dyDescent="0.25">
      <c r="A25" s="19" t="s">
        <v>42</v>
      </c>
      <c r="B25" s="20" t="s">
        <v>34</v>
      </c>
      <c r="C25" s="25"/>
      <c r="D25" s="22"/>
      <c r="E25" s="25"/>
      <c r="F25" s="22"/>
      <c r="G25" s="25"/>
      <c r="H25" s="22"/>
      <c r="I25" s="25"/>
      <c r="J25" s="22">
        <v>11</v>
      </c>
      <c r="K25" s="85"/>
      <c r="L25" s="73"/>
      <c r="M25" s="25"/>
      <c r="N25" s="22"/>
      <c r="O25" s="25"/>
      <c r="P25" s="22"/>
      <c r="Q25" s="25"/>
      <c r="R25" s="22"/>
      <c r="S25" s="25"/>
      <c r="T25" s="22"/>
      <c r="U25" s="25"/>
      <c r="V25" s="22"/>
      <c r="W25" s="25"/>
      <c r="X25" s="22"/>
      <c r="Y25" s="25"/>
      <c r="Z25" s="22"/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5"/>
      <c r="AN25" s="22"/>
      <c r="AO25" s="25"/>
      <c r="AP25" s="22"/>
      <c r="AQ25" s="25"/>
      <c r="AR25" s="22"/>
      <c r="AS25" s="25"/>
      <c r="AT25" s="22"/>
      <c r="AU25" s="25"/>
      <c r="AV25" s="22"/>
      <c r="AW25"/>
      <c r="AX25" s="74">
        <f t="shared" si="0"/>
        <v>11</v>
      </c>
      <c r="AY25" s="22">
        <f t="shared" si="1"/>
        <v>10.42654028436019</v>
      </c>
    </row>
    <row r="26" spans="1:51" x14ac:dyDescent="0.25">
      <c r="A26" s="19" t="s">
        <v>43</v>
      </c>
      <c r="B26" s="20" t="s">
        <v>34</v>
      </c>
      <c r="C26" s="25"/>
      <c r="D26" s="22">
        <v>16.53</v>
      </c>
      <c r="E26" s="25"/>
      <c r="F26" s="22">
        <v>9.07</v>
      </c>
      <c r="G26" s="25"/>
      <c r="H26" s="22">
        <v>28.55</v>
      </c>
      <c r="I26" s="25"/>
      <c r="J26" s="22">
        <v>26.8</v>
      </c>
      <c r="K26" s="85"/>
      <c r="L26" s="73">
        <v>10.3</v>
      </c>
      <c r="M26" s="25"/>
      <c r="N26" s="22">
        <f>16.9+5</f>
        <v>21.9</v>
      </c>
      <c r="O26" s="25"/>
      <c r="P26" s="22"/>
      <c r="Q26" s="25"/>
      <c r="R26" s="22"/>
      <c r="S26" s="25"/>
      <c r="T26" s="22"/>
      <c r="U26" s="25"/>
      <c r="V26" s="22"/>
      <c r="W26" s="25"/>
      <c r="X26" s="22"/>
      <c r="Y26" s="25"/>
      <c r="Z26" s="22"/>
      <c r="AA26" s="25"/>
      <c r="AB26" s="22"/>
      <c r="AC26" s="25"/>
      <c r="AD26" s="22"/>
      <c r="AE26" s="25"/>
      <c r="AF26" s="22"/>
      <c r="AG26" s="25"/>
      <c r="AH26" s="22"/>
      <c r="AI26" s="25"/>
      <c r="AJ26" s="22"/>
      <c r="AK26" s="25"/>
      <c r="AL26" s="22"/>
      <c r="AM26" s="25"/>
      <c r="AN26" s="22"/>
      <c r="AO26" s="25"/>
      <c r="AP26" s="22"/>
      <c r="AQ26" s="25"/>
      <c r="AR26" s="22"/>
      <c r="AS26" s="25"/>
      <c r="AT26" s="22"/>
      <c r="AU26" s="25"/>
      <c r="AV26" s="22"/>
      <c r="AW26"/>
      <c r="AX26" s="74">
        <f t="shared" si="0"/>
        <v>113.15</v>
      </c>
      <c r="AY26" s="22">
        <f t="shared" si="1"/>
        <v>107.25118483412324</v>
      </c>
    </row>
    <row r="27" spans="1:51" x14ac:dyDescent="0.25">
      <c r="A27" s="19" t="s">
        <v>44</v>
      </c>
      <c r="B27" s="20" t="s">
        <v>34</v>
      </c>
      <c r="C27" s="25"/>
      <c r="D27" s="22"/>
      <c r="E27" s="25"/>
      <c r="F27" s="22"/>
      <c r="G27" s="25"/>
      <c r="H27" s="22"/>
      <c r="I27" s="25"/>
      <c r="J27" s="22"/>
      <c r="K27" s="85"/>
      <c r="L27" s="73"/>
      <c r="M27" s="25"/>
      <c r="N27" s="22"/>
      <c r="O27" s="25"/>
      <c r="P27" s="22"/>
      <c r="Q27" s="25"/>
      <c r="R27" s="22"/>
      <c r="S27" s="25"/>
      <c r="T27" s="22"/>
      <c r="U27" s="25"/>
      <c r="V27" s="22"/>
      <c r="W27" s="25"/>
      <c r="X27" s="22"/>
      <c r="Y27" s="25"/>
      <c r="Z27" s="22"/>
      <c r="AA27" s="25"/>
      <c r="AB27" s="22"/>
      <c r="AC27" s="25"/>
      <c r="AD27" s="22"/>
      <c r="AE27" s="25"/>
      <c r="AF27" s="22"/>
      <c r="AG27" s="25"/>
      <c r="AH27" s="22"/>
      <c r="AI27" s="25"/>
      <c r="AJ27" s="22"/>
      <c r="AK27" s="25"/>
      <c r="AL27" s="22"/>
      <c r="AM27" s="25"/>
      <c r="AN27" s="22"/>
      <c r="AO27" s="25"/>
      <c r="AP27" s="22"/>
      <c r="AQ27" s="25"/>
      <c r="AR27" s="22"/>
      <c r="AS27" s="25"/>
      <c r="AT27" s="22"/>
      <c r="AU27" s="25"/>
      <c r="AV27" s="22"/>
      <c r="AW27"/>
      <c r="AX27" s="74">
        <f t="shared" si="0"/>
        <v>0</v>
      </c>
      <c r="AY27" s="22">
        <f t="shared" si="1"/>
        <v>0</v>
      </c>
    </row>
    <row r="28" spans="1:51" x14ac:dyDescent="0.25">
      <c r="A28" s="19" t="s">
        <v>179</v>
      </c>
      <c r="B28" s="20" t="s">
        <v>34</v>
      </c>
      <c r="C28" s="25"/>
      <c r="D28" s="22"/>
      <c r="E28" s="25"/>
      <c r="F28" s="22"/>
      <c r="G28" s="25"/>
      <c r="H28" s="22"/>
      <c r="I28" s="25"/>
      <c r="J28" s="22"/>
      <c r="K28" s="85"/>
      <c r="L28" s="73"/>
      <c r="M28" s="25"/>
      <c r="N28" s="22"/>
      <c r="O28" s="25"/>
      <c r="P28" s="22"/>
      <c r="Q28" s="25"/>
      <c r="R28" s="22"/>
      <c r="S28" s="25"/>
      <c r="T28" s="22"/>
      <c r="U28" s="25"/>
      <c r="V28" s="22"/>
      <c r="W28" s="25"/>
      <c r="X28" s="22"/>
      <c r="Y28" s="25"/>
      <c r="Z28" s="22"/>
      <c r="AA28" s="25"/>
      <c r="AB28" s="22"/>
      <c r="AC28" s="25"/>
      <c r="AD28" s="22"/>
      <c r="AE28" s="25"/>
      <c r="AF28" s="22"/>
      <c r="AG28" s="25"/>
      <c r="AH28" s="22"/>
      <c r="AI28" s="25"/>
      <c r="AJ28" s="22"/>
      <c r="AK28" s="25"/>
      <c r="AL28" s="22"/>
      <c r="AM28" s="25"/>
      <c r="AN28" s="22"/>
      <c r="AO28" s="25"/>
      <c r="AP28" s="22"/>
      <c r="AQ28" s="25"/>
      <c r="AR28" s="22"/>
      <c r="AS28" s="25"/>
      <c r="AT28" s="22"/>
      <c r="AU28" s="25"/>
      <c r="AV28" s="22"/>
      <c r="AW28"/>
      <c r="AX28" s="74">
        <f t="shared" si="0"/>
        <v>0</v>
      </c>
      <c r="AY28" s="22">
        <f t="shared" si="1"/>
        <v>0</v>
      </c>
    </row>
    <row r="29" spans="1:51" x14ac:dyDescent="0.25">
      <c r="A29" s="19" t="s">
        <v>180</v>
      </c>
      <c r="B29" s="20" t="s">
        <v>34</v>
      </c>
      <c r="C29" s="25"/>
      <c r="D29" s="22"/>
      <c r="E29" s="25"/>
      <c r="F29" s="22"/>
      <c r="G29" s="25"/>
      <c r="H29" s="22"/>
      <c r="I29" s="25"/>
      <c r="J29" s="22"/>
      <c r="K29" s="85"/>
      <c r="L29" s="73"/>
      <c r="M29" s="25"/>
      <c r="N29" s="22"/>
      <c r="O29" s="25"/>
      <c r="P29" s="22"/>
      <c r="Q29" s="25"/>
      <c r="R29" s="22"/>
      <c r="S29" s="25"/>
      <c r="T29" s="22"/>
      <c r="U29" s="25"/>
      <c r="V29" s="22"/>
      <c r="W29" s="25"/>
      <c r="X29" s="22"/>
      <c r="Y29" s="25"/>
      <c r="Z29" s="22"/>
      <c r="AA29" s="25"/>
      <c r="AB29" s="22"/>
      <c r="AC29" s="25"/>
      <c r="AD29" s="22"/>
      <c r="AE29" s="25"/>
      <c r="AF29" s="22"/>
      <c r="AG29" s="25"/>
      <c r="AH29" s="22"/>
      <c r="AI29" s="25"/>
      <c r="AJ29" s="22"/>
      <c r="AK29" s="25"/>
      <c r="AL29" s="22"/>
      <c r="AM29" s="25"/>
      <c r="AN29" s="22"/>
      <c r="AO29" s="25"/>
      <c r="AP29" s="22"/>
      <c r="AQ29" s="25"/>
      <c r="AR29" s="22"/>
      <c r="AS29" s="25"/>
      <c r="AT29" s="22"/>
      <c r="AU29" s="25"/>
      <c r="AV29" s="22"/>
      <c r="AW29"/>
      <c r="AX29" s="74">
        <f t="shared" si="0"/>
        <v>0</v>
      </c>
      <c r="AY29" s="22">
        <f t="shared" si="1"/>
        <v>0</v>
      </c>
    </row>
    <row r="30" spans="1:51" x14ac:dyDescent="0.25">
      <c r="A30" s="19" t="s">
        <v>191</v>
      </c>
      <c r="B30" s="20" t="s">
        <v>34</v>
      </c>
      <c r="C30" s="25"/>
      <c r="D30" s="22">
        <v>36.47</v>
      </c>
      <c r="E30" s="25"/>
      <c r="F30" s="22">
        <v>13.22</v>
      </c>
      <c r="G30" s="25"/>
      <c r="H30" s="22">
        <v>16.68</v>
      </c>
      <c r="I30" s="25"/>
      <c r="J30" s="22">
        <v>9.41</v>
      </c>
      <c r="K30" s="85"/>
      <c r="L30" s="73">
        <v>14.4</v>
      </c>
      <c r="M30" s="25"/>
      <c r="N30" s="22">
        <v>7.61</v>
      </c>
      <c r="O30" s="25"/>
      <c r="P30" s="22"/>
      <c r="Q30" s="25"/>
      <c r="R30" s="22"/>
      <c r="S30" s="25"/>
      <c r="T30" s="22"/>
      <c r="U30" s="25"/>
      <c r="V30" s="22"/>
      <c r="W30" s="25"/>
      <c r="X30" s="22"/>
      <c r="Y30" s="25"/>
      <c r="Z30" s="22"/>
      <c r="AA30" s="25"/>
      <c r="AB30" s="22"/>
      <c r="AC30" s="25"/>
      <c r="AD30" s="22"/>
      <c r="AE30" s="25"/>
      <c r="AF30" s="22"/>
      <c r="AG30" s="25"/>
      <c r="AH30" s="22"/>
      <c r="AI30" s="25"/>
      <c r="AJ30" s="22"/>
      <c r="AK30" s="25"/>
      <c r="AL30" s="22"/>
      <c r="AM30" s="25"/>
      <c r="AN30" s="22"/>
      <c r="AO30" s="25"/>
      <c r="AP30" s="22"/>
      <c r="AQ30" s="25"/>
      <c r="AR30" s="22"/>
      <c r="AS30" s="25"/>
      <c r="AT30" s="22"/>
      <c r="AU30" s="25"/>
      <c r="AV30" s="22"/>
      <c r="AW30"/>
      <c r="AX30" s="74">
        <f t="shared" si="0"/>
        <v>97.789999999999992</v>
      </c>
      <c r="AY30" s="22">
        <f t="shared" si="1"/>
        <v>92.691943127962077</v>
      </c>
    </row>
    <row r="31" spans="1:51" x14ac:dyDescent="0.25">
      <c r="A31" s="19" t="s">
        <v>201</v>
      </c>
      <c r="B31" s="20" t="s">
        <v>26</v>
      </c>
      <c r="C31" s="25"/>
      <c r="D31" s="22"/>
      <c r="E31" s="25"/>
      <c r="F31" s="22"/>
      <c r="G31" s="21"/>
      <c r="H31" s="22"/>
      <c r="I31" s="25"/>
      <c r="J31" s="22"/>
      <c r="K31" s="85"/>
      <c r="L31" s="73"/>
      <c r="M31" s="25"/>
      <c r="N31" s="22"/>
      <c r="O31" s="25"/>
      <c r="P31" s="22"/>
      <c r="Q31" s="25"/>
      <c r="R31" s="22"/>
      <c r="S31" s="25"/>
      <c r="T31" s="22"/>
      <c r="U31" s="25"/>
      <c r="V31" s="22"/>
      <c r="W31" s="25"/>
      <c r="X31" s="22"/>
      <c r="Y31" s="25"/>
      <c r="Z31" s="22"/>
      <c r="AA31" s="25"/>
      <c r="AB31" s="22"/>
      <c r="AC31" s="25"/>
      <c r="AD31" s="22"/>
      <c r="AE31" s="25"/>
      <c r="AF31" s="22"/>
      <c r="AG31" s="25"/>
      <c r="AH31" s="22"/>
      <c r="AI31" s="25"/>
      <c r="AJ31" s="22"/>
      <c r="AK31" s="25"/>
      <c r="AL31" s="22"/>
      <c r="AM31" s="25"/>
      <c r="AN31" s="22"/>
      <c r="AO31" s="25"/>
      <c r="AP31" s="22"/>
      <c r="AQ31" s="25"/>
      <c r="AR31" s="22"/>
      <c r="AS31" s="25"/>
      <c r="AT31" s="22"/>
      <c r="AU31" s="25"/>
      <c r="AV31" s="22"/>
      <c r="AW31"/>
      <c r="AX31" s="74">
        <f t="shared" si="0"/>
        <v>0</v>
      </c>
      <c r="AY31" s="22">
        <f t="shared" si="1"/>
        <v>0</v>
      </c>
    </row>
    <row r="32" spans="1:51" x14ac:dyDescent="0.25">
      <c r="A32" s="19" t="s">
        <v>202</v>
      </c>
      <c r="B32" s="20" t="s">
        <v>34</v>
      </c>
      <c r="C32" s="25"/>
      <c r="D32" s="22"/>
      <c r="E32" s="25"/>
      <c r="F32" s="22"/>
      <c r="G32" s="25"/>
      <c r="H32" s="22"/>
      <c r="I32" s="25"/>
      <c r="J32" s="22">
        <v>10.96</v>
      </c>
      <c r="K32" s="85"/>
      <c r="L32" s="73"/>
      <c r="M32" s="25"/>
      <c r="N32" s="22"/>
      <c r="O32" s="25"/>
      <c r="P32" s="22"/>
      <c r="Q32" s="25"/>
      <c r="R32" s="22"/>
      <c r="S32" s="25"/>
      <c r="T32" s="22"/>
      <c r="U32" s="25"/>
      <c r="V32" s="22"/>
      <c r="W32" s="25"/>
      <c r="X32" s="22"/>
      <c r="Y32" s="25"/>
      <c r="Z32" s="22"/>
      <c r="AA32" s="25"/>
      <c r="AB32" s="22"/>
      <c r="AC32" s="25"/>
      <c r="AD32" s="22"/>
      <c r="AE32" s="25"/>
      <c r="AF32" s="22"/>
      <c r="AG32" s="25"/>
      <c r="AH32" s="22"/>
      <c r="AI32" s="25"/>
      <c r="AJ32" s="22"/>
      <c r="AK32" s="25"/>
      <c r="AL32" s="22"/>
      <c r="AM32" s="25"/>
      <c r="AN32" s="22"/>
      <c r="AO32" s="25"/>
      <c r="AP32" s="22"/>
      <c r="AQ32" s="25"/>
      <c r="AR32" s="22"/>
      <c r="AS32" s="25"/>
      <c r="AT32" s="22"/>
      <c r="AU32" s="25"/>
      <c r="AV32" s="22"/>
      <c r="AW32"/>
      <c r="AX32" s="74">
        <f t="shared" si="0"/>
        <v>10.96</v>
      </c>
      <c r="AY32" s="22">
        <f t="shared" si="1"/>
        <v>10.388625592417062</v>
      </c>
    </row>
    <row r="33" spans="1:51" s="18" customFormat="1" x14ac:dyDescent="0.25">
      <c r="A33" s="12" t="s">
        <v>46</v>
      </c>
      <c r="B33" s="13"/>
      <c r="C33" s="14"/>
      <c r="D33" s="15">
        <f>SUM(D34:D51)</f>
        <v>28.43</v>
      </c>
      <c r="E33" s="14"/>
      <c r="F33" s="15">
        <f>SUM(F34:F51)</f>
        <v>33.56</v>
      </c>
      <c r="G33" s="14"/>
      <c r="H33" s="15">
        <f>SUM(H34:H51)</f>
        <v>77.02000000000001</v>
      </c>
      <c r="I33" s="14"/>
      <c r="J33" s="15">
        <f>SUM(J34:J51)</f>
        <v>29.87</v>
      </c>
      <c r="K33" s="70"/>
      <c r="L33" s="70">
        <f>SUM(L34:L51)</f>
        <v>68.109999999999985</v>
      </c>
      <c r="M33" s="14"/>
      <c r="N33" s="15">
        <f>SUM(N34:N51)</f>
        <v>78.59</v>
      </c>
      <c r="O33" s="14"/>
      <c r="P33" s="15">
        <f>SUM(P34:P51)</f>
        <v>0</v>
      </c>
      <c r="Q33" s="14"/>
      <c r="R33" s="15">
        <f>SUM(R34:R51)</f>
        <v>0</v>
      </c>
      <c r="S33" s="14"/>
      <c r="T33" s="15">
        <f>SUM(T34:T51)</f>
        <v>0</v>
      </c>
      <c r="U33" s="14"/>
      <c r="V33" s="15">
        <f>SUM(V34:V51)</f>
        <v>0</v>
      </c>
      <c r="W33" s="14"/>
      <c r="X33" s="15">
        <f>SUM(X34:X51)</f>
        <v>0</v>
      </c>
      <c r="Y33" s="14"/>
      <c r="Z33" s="15">
        <f>SUM(Z34:Z51)</f>
        <v>0</v>
      </c>
      <c r="AA33" s="14"/>
      <c r="AB33" s="15">
        <f>SUM(AB34:AB51)</f>
        <v>0</v>
      </c>
      <c r="AC33" s="14"/>
      <c r="AD33" s="15">
        <f>SUM(AD34:AD51)</f>
        <v>0</v>
      </c>
      <c r="AE33" s="14"/>
      <c r="AF33" s="15">
        <f>SUM(AF34:AF51)</f>
        <v>0</v>
      </c>
      <c r="AG33" s="14"/>
      <c r="AH33" s="15">
        <f>SUM(AH34:AH51)</f>
        <v>0</v>
      </c>
      <c r="AI33" s="14"/>
      <c r="AJ33" s="15">
        <f>SUM(AJ34:AJ51)</f>
        <v>0</v>
      </c>
      <c r="AK33" s="14"/>
      <c r="AL33" s="15">
        <f>SUM(AL34:AL51)</f>
        <v>0</v>
      </c>
      <c r="AM33" s="14"/>
      <c r="AN33" s="15">
        <f>SUM(AN34:AN51)</f>
        <v>0</v>
      </c>
      <c r="AO33" s="14"/>
      <c r="AP33" s="15">
        <f>SUM(AP34:AP51)</f>
        <v>0</v>
      </c>
      <c r="AQ33" s="14"/>
      <c r="AR33" s="15">
        <f>SUM(AR34:AR51)</f>
        <v>0</v>
      </c>
      <c r="AS33" s="14"/>
      <c r="AT33" s="15">
        <f>SUM(AT34:AT51)</f>
        <v>0</v>
      </c>
      <c r="AU33" s="14"/>
      <c r="AV33" s="15">
        <f>SUM(AV34:AV51)</f>
        <v>0</v>
      </c>
      <c r="AX33" s="71">
        <f t="shared" si="0"/>
        <v>315.58</v>
      </c>
      <c r="AY33" s="15">
        <f t="shared" si="1"/>
        <v>299.12796208530807</v>
      </c>
    </row>
    <row r="34" spans="1:51" x14ac:dyDescent="0.25">
      <c r="A34" s="19" t="s">
        <v>47</v>
      </c>
      <c r="B34" s="20" t="s">
        <v>34</v>
      </c>
      <c r="C34" s="25"/>
      <c r="D34" s="22"/>
      <c r="E34" s="25"/>
      <c r="F34" s="22"/>
      <c r="G34" s="25"/>
      <c r="H34" s="22"/>
      <c r="I34" s="25"/>
      <c r="J34" s="22"/>
      <c r="K34" s="25"/>
      <c r="L34" s="73"/>
      <c r="M34" s="25"/>
      <c r="N34" s="22"/>
      <c r="O34" s="25"/>
      <c r="P34" s="22"/>
      <c r="Q34" s="25"/>
      <c r="R34" s="22"/>
      <c r="S34" s="21"/>
      <c r="T34" s="22"/>
      <c r="U34" s="25"/>
      <c r="V34" s="22"/>
      <c r="W34" s="25"/>
      <c r="X34" s="22"/>
      <c r="Y34" s="25"/>
      <c r="Z34" s="22"/>
      <c r="AA34" s="21"/>
      <c r="AB34" s="22"/>
      <c r="AC34" s="25"/>
      <c r="AD34" s="22"/>
      <c r="AE34" s="25"/>
      <c r="AF34" s="22"/>
      <c r="AG34" s="25"/>
      <c r="AH34" s="22"/>
      <c r="AI34" s="25"/>
      <c r="AJ34" s="22"/>
      <c r="AK34" s="25"/>
      <c r="AL34" s="22"/>
      <c r="AM34" s="25"/>
      <c r="AN34" s="22"/>
      <c r="AO34" s="25"/>
      <c r="AP34" s="22"/>
      <c r="AQ34" s="25"/>
      <c r="AR34" s="22"/>
      <c r="AS34" s="25"/>
      <c r="AT34" s="22"/>
      <c r="AU34" s="25"/>
      <c r="AV34" s="22"/>
      <c r="AW34"/>
      <c r="AX34" s="74">
        <f t="shared" si="0"/>
        <v>0</v>
      </c>
      <c r="AY34" s="22">
        <f t="shared" si="1"/>
        <v>0</v>
      </c>
    </row>
    <row r="35" spans="1:51" x14ac:dyDescent="0.25">
      <c r="A35" s="19" t="s">
        <v>48</v>
      </c>
      <c r="B35" s="20" t="s">
        <v>34</v>
      </c>
      <c r="C35" s="25"/>
      <c r="D35" s="22">
        <v>5.33</v>
      </c>
      <c r="E35" s="25"/>
      <c r="F35" s="22">
        <v>12.08</v>
      </c>
      <c r="G35" s="25"/>
      <c r="H35" s="22">
        <v>14.9</v>
      </c>
      <c r="I35" s="25"/>
      <c r="J35" s="22">
        <v>9.3000000000000007</v>
      </c>
      <c r="K35" s="25"/>
      <c r="L35" s="73">
        <f>35.47+4.8</f>
        <v>40.269999999999996</v>
      </c>
      <c r="M35" s="25"/>
      <c r="N35" s="22">
        <f>15.13+5</f>
        <v>20.130000000000003</v>
      </c>
      <c r="O35" s="25"/>
      <c r="P35" s="22"/>
      <c r="Q35" s="25"/>
      <c r="R35" s="22"/>
      <c r="S35" s="21"/>
      <c r="T35" s="22"/>
      <c r="U35" s="25"/>
      <c r="V35" s="22"/>
      <c r="W35" s="25"/>
      <c r="X35" s="22"/>
      <c r="Y35" s="25"/>
      <c r="Z35" s="22"/>
      <c r="AA35" s="21"/>
      <c r="AB35" s="22"/>
      <c r="AC35" s="25"/>
      <c r="AD35" s="22"/>
      <c r="AE35" s="25"/>
      <c r="AF35" s="22"/>
      <c r="AG35" s="25"/>
      <c r="AH35" s="22"/>
      <c r="AI35" s="25"/>
      <c r="AJ35" s="22"/>
      <c r="AK35" s="25"/>
      <c r="AL35" s="22"/>
      <c r="AM35" s="25"/>
      <c r="AN35" s="22"/>
      <c r="AO35" s="25"/>
      <c r="AP35" s="22"/>
      <c r="AQ35" s="25"/>
      <c r="AR35" s="22"/>
      <c r="AS35" s="25"/>
      <c r="AT35" s="22"/>
      <c r="AU35" s="25"/>
      <c r="AV35" s="22"/>
      <c r="AW35"/>
      <c r="AX35" s="74">
        <f t="shared" ref="AX35:AX66" si="2">SUM(AV35,AT35,AR35,AP35,AN35,AL35,AJ35,AH35,AF35,AD35,AB35,Z35,X35,V35,T35,R35,P35,N35,L35,J35,H35,F35,D35)</f>
        <v>102.01</v>
      </c>
      <c r="AY35" s="22">
        <f t="shared" ref="AY35:AY66" si="3">AX35/1.055</f>
        <v>96.691943127962091</v>
      </c>
    </row>
    <row r="36" spans="1:51" x14ac:dyDescent="0.25">
      <c r="A36" s="19" t="s">
        <v>49</v>
      </c>
      <c r="B36" s="20" t="s">
        <v>34</v>
      </c>
      <c r="C36" s="25"/>
      <c r="D36" s="22">
        <v>12.88</v>
      </c>
      <c r="E36" s="25"/>
      <c r="F36" s="22">
        <v>10</v>
      </c>
      <c r="G36" s="25"/>
      <c r="H36" s="22">
        <f>10.91+8</f>
        <v>18.91</v>
      </c>
      <c r="I36" s="25"/>
      <c r="J36" s="22">
        <v>12.63</v>
      </c>
      <c r="K36" s="25"/>
      <c r="L36" s="73">
        <v>10.43</v>
      </c>
      <c r="M36" s="25"/>
      <c r="N36" s="22">
        <f>12.11+5</f>
        <v>17.11</v>
      </c>
      <c r="O36" s="25"/>
      <c r="P36" s="22"/>
      <c r="Q36" s="25"/>
      <c r="R36" s="22"/>
      <c r="S36" s="21"/>
      <c r="T36" s="22"/>
      <c r="U36" s="25"/>
      <c r="V36" s="22"/>
      <c r="W36" s="25"/>
      <c r="X36" s="22"/>
      <c r="Y36" s="25"/>
      <c r="Z36" s="22"/>
      <c r="AA36" s="21"/>
      <c r="AB36" s="22"/>
      <c r="AC36" s="25"/>
      <c r="AD36" s="22"/>
      <c r="AE36" s="25"/>
      <c r="AF36" s="22"/>
      <c r="AG36" s="25"/>
      <c r="AH36" s="22"/>
      <c r="AI36" s="25"/>
      <c r="AJ36" s="22"/>
      <c r="AK36" s="25"/>
      <c r="AL36" s="22"/>
      <c r="AM36" s="25"/>
      <c r="AN36" s="22"/>
      <c r="AO36" s="25"/>
      <c r="AP36" s="22"/>
      <c r="AQ36" s="25"/>
      <c r="AR36" s="22"/>
      <c r="AS36" s="25"/>
      <c r="AT36" s="22"/>
      <c r="AU36" s="25"/>
      <c r="AV36" s="22"/>
      <c r="AW36"/>
      <c r="AX36" s="74">
        <f t="shared" si="2"/>
        <v>81.96</v>
      </c>
      <c r="AY36" s="22">
        <f t="shared" si="3"/>
        <v>77.687203791469187</v>
      </c>
    </row>
    <row r="37" spans="1:51" x14ac:dyDescent="0.25">
      <c r="A37" s="19" t="s">
        <v>50</v>
      </c>
      <c r="B37" s="20" t="s">
        <v>34</v>
      </c>
      <c r="C37" s="25"/>
      <c r="D37" s="22"/>
      <c r="E37" s="25"/>
      <c r="F37" s="22"/>
      <c r="G37" s="25"/>
      <c r="H37" s="22"/>
      <c r="I37" s="25"/>
      <c r="J37" s="22"/>
      <c r="K37" s="25"/>
      <c r="L37" s="73"/>
      <c r="M37" s="25"/>
      <c r="N37" s="22"/>
      <c r="O37" s="25"/>
      <c r="P37" s="22"/>
      <c r="Q37" s="25"/>
      <c r="R37" s="22"/>
      <c r="S37" s="21"/>
      <c r="T37" s="22"/>
      <c r="U37" s="25"/>
      <c r="V37" s="22"/>
      <c r="W37" s="25"/>
      <c r="X37" s="22"/>
      <c r="Y37" s="25"/>
      <c r="Z37" s="22"/>
      <c r="AA37" s="21"/>
      <c r="AB37" s="22"/>
      <c r="AC37" s="25"/>
      <c r="AD37" s="22"/>
      <c r="AE37" s="25"/>
      <c r="AF37" s="22"/>
      <c r="AG37" s="25"/>
      <c r="AH37" s="22"/>
      <c r="AI37" s="25"/>
      <c r="AJ37" s="22"/>
      <c r="AK37" s="25"/>
      <c r="AL37" s="22"/>
      <c r="AM37" s="25"/>
      <c r="AN37" s="22"/>
      <c r="AO37" s="25"/>
      <c r="AP37" s="22"/>
      <c r="AQ37" s="25"/>
      <c r="AR37" s="22"/>
      <c r="AS37" s="25"/>
      <c r="AT37" s="22"/>
      <c r="AU37" s="25"/>
      <c r="AV37" s="22"/>
      <c r="AW37"/>
      <c r="AX37" s="74">
        <f t="shared" si="2"/>
        <v>0</v>
      </c>
      <c r="AY37" s="22">
        <f t="shared" si="3"/>
        <v>0</v>
      </c>
    </row>
    <row r="38" spans="1:51" x14ac:dyDescent="0.25">
      <c r="A38" s="19" t="s">
        <v>51</v>
      </c>
      <c r="B38" s="20" t="s">
        <v>34</v>
      </c>
      <c r="C38" s="25"/>
      <c r="D38" s="22"/>
      <c r="E38" s="25"/>
      <c r="F38" s="22"/>
      <c r="G38" s="25"/>
      <c r="H38" s="22"/>
      <c r="I38" s="25"/>
      <c r="J38" s="22"/>
      <c r="K38" s="25"/>
      <c r="L38" s="73"/>
      <c r="M38" s="25"/>
      <c r="N38" s="22"/>
      <c r="O38" s="25"/>
      <c r="P38" s="22"/>
      <c r="Q38" s="25"/>
      <c r="R38" s="22"/>
      <c r="S38" s="21"/>
      <c r="T38" s="22"/>
      <c r="U38" s="25"/>
      <c r="V38" s="22"/>
      <c r="W38" s="25"/>
      <c r="X38" s="22"/>
      <c r="Y38" s="25"/>
      <c r="Z38" s="22"/>
      <c r="AA38" s="21"/>
      <c r="AB38" s="22"/>
      <c r="AC38" s="25"/>
      <c r="AD38" s="22"/>
      <c r="AE38" s="25"/>
      <c r="AF38" s="22"/>
      <c r="AG38" s="25"/>
      <c r="AH38" s="22"/>
      <c r="AI38" s="25"/>
      <c r="AJ38" s="22"/>
      <c r="AK38" s="25"/>
      <c r="AL38" s="22"/>
      <c r="AM38" s="25"/>
      <c r="AN38" s="22"/>
      <c r="AO38" s="25"/>
      <c r="AP38" s="22"/>
      <c r="AQ38" s="25"/>
      <c r="AR38" s="22"/>
      <c r="AS38" s="25"/>
      <c r="AT38" s="22"/>
      <c r="AU38" s="25"/>
      <c r="AV38" s="22"/>
      <c r="AW38"/>
      <c r="AX38" s="74">
        <f t="shared" si="2"/>
        <v>0</v>
      </c>
      <c r="AY38" s="22">
        <f t="shared" si="3"/>
        <v>0</v>
      </c>
    </row>
    <row r="39" spans="1:51" x14ac:dyDescent="0.25">
      <c r="A39" s="19" t="s">
        <v>208</v>
      </c>
      <c r="B39" s="20" t="s">
        <v>34</v>
      </c>
      <c r="C39" s="25"/>
      <c r="D39" s="22"/>
      <c r="E39" s="25"/>
      <c r="F39" s="22"/>
      <c r="G39" s="25"/>
      <c r="H39" s="22"/>
      <c r="I39" s="25"/>
      <c r="J39" s="22"/>
      <c r="K39" s="25"/>
      <c r="L39" s="73"/>
      <c r="M39" s="25"/>
      <c r="N39" s="22"/>
      <c r="O39" s="25"/>
      <c r="P39" s="22"/>
      <c r="Q39" s="25"/>
      <c r="R39" s="22"/>
      <c r="S39" s="21"/>
      <c r="T39" s="22"/>
      <c r="U39" s="25"/>
      <c r="V39" s="22"/>
      <c r="W39" s="25"/>
      <c r="X39" s="22"/>
      <c r="Y39" s="25"/>
      <c r="Z39" s="22"/>
      <c r="AA39" s="21"/>
      <c r="AB39" s="22"/>
      <c r="AC39" s="25"/>
      <c r="AD39" s="22"/>
      <c r="AE39" s="25"/>
      <c r="AF39" s="22"/>
      <c r="AG39" s="25"/>
      <c r="AH39" s="22"/>
      <c r="AI39" s="25"/>
      <c r="AJ39" s="22"/>
      <c r="AK39" s="25"/>
      <c r="AL39" s="22"/>
      <c r="AM39" s="25"/>
      <c r="AN39" s="22"/>
      <c r="AO39" s="25"/>
      <c r="AP39" s="22"/>
      <c r="AQ39" s="25"/>
      <c r="AR39" s="22"/>
      <c r="AS39" s="25"/>
      <c r="AT39" s="22"/>
      <c r="AU39" s="25"/>
      <c r="AV39" s="22"/>
      <c r="AW39"/>
      <c r="AX39" s="74">
        <f t="shared" si="2"/>
        <v>0</v>
      </c>
      <c r="AY39" s="22">
        <f t="shared" si="3"/>
        <v>0</v>
      </c>
    </row>
    <row r="40" spans="1:51" x14ac:dyDescent="0.25">
      <c r="A40" s="19" t="s">
        <v>133</v>
      </c>
      <c r="B40" s="20" t="s">
        <v>53</v>
      </c>
      <c r="C40" s="25"/>
      <c r="D40" s="22">
        <v>3.23</v>
      </c>
      <c r="E40" s="25"/>
      <c r="F40" s="22"/>
      <c r="G40" s="25"/>
      <c r="H40" s="22"/>
      <c r="I40" s="25"/>
      <c r="J40" s="22"/>
      <c r="K40" s="25"/>
      <c r="L40" s="73"/>
      <c r="M40" s="25"/>
      <c r="N40" s="22"/>
      <c r="O40" s="25"/>
      <c r="P40" s="22"/>
      <c r="Q40" s="25"/>
      <c r="R40" s="22"/>
      <c r="S40" s="21"/>
      <c r="T40" s="22"/>
      <c r="U40" s="25"/>
      <c r="V40" s="22"/>
      <c r="W40" s="25"/>
      <c r="X40" s="22"/>
      <c r="Y40" s="25"/>
      <c r="Z40" s="22"/>
      <c r="AA40" s="21"/>
      <c r="AB40" s="22"/>
      <c r="AC40" s="25"/>
      <c r="AD40" s="22"/>
      <c r="AE40" s="25"/>
      <c r="AF40" s="22"/>
      <c r="AG40" s="25"/>
      <c r="AH40" s="22"/>
      <c r="AI40" s="25"/>
      <c r="AJ40" s="22"/>
      <c r="AK40" s="25"/>
      <c r="AL40" s="22"/>
      <c r="AM40" s="25"/>
      <c r="AN40" s="22"/>
      <c r="AO40" s="25"/>
      <c r="AP40" s="22"/>
      <c r="AQ40" s="25"/>
      <c r="AR40" s="22"/>
      <c r="AS40" s="25"/>
      <c r="AT40" s="22"/>
      <c r="AU40" s="25"/>
      <c r="AV40" s="22"/>
      <c r="AW40"/>
      <c r="AX40" s="74">
        <f t="shared" si="2"/>
        <v>3.23</v>
      </c>
      <c r="AY40" s="22">
        <f t="shared" si="3"/>
        <v>3.0616113744075832</v>
      </c>
    </row>
    <row r="41" spans="1:51" x14ac:dyDescent="0.25">
      <c r="A41" s="19" t="s">
        <v>54</v>
      </c>
      <c r="B41" s="20" t="s">
        <v>55</v>
      </c>
      <c r="C41" s="25"/>
      <c r="D41" s="22"/>
      <c r="E41" s="25"/>
      <c r="F41" s="22"/>
      <c r="G41" s="25"/>
      <c r="H41" s="22"/>
      <c r="I41" s="25"/>
      <c r="J41" s="22"/>
      <c r="K41" s="25"/>
      <c r="L41" s="73"/>
      <c r="M41" s="25"/>
      <c r="N41" s="22"/>
      <c r="O41" s="25"/>
      <c r="P41" s="22"/>
      <c r="Q41" s="25"/>
      <c r="R41" s="22"/>
      <c r="S41" s="21"/>
      <c r="T41" s="22"/>
      <c r="U41" s="25"/>
      <c r="V41" s="22"/>
      <c r="W41" s="25"/>
      <c r="X41" s="22"/>
      <c r="Y41" s="25"/>
      <c r="Z41" s="22"/>
      <c r="AA41" s="21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5"/>
      <c r="AN41" s="22"/>
      <c r="AO41" s="25"/>
      <c r="AP41" s="22"/>
      <c r="AQ41" s="25"/>
      <c r="AR41" s="22"/>
      <c r="AS41" s="25"/>
      <c r="AT41" s="22"/>
      <c r="AU41" s="25"/>
      <c r="AV41" s="22"/>
      <c r="AW41"/>
      <c r="AX41" s="74">
        <f t="shared" si="2"/>
        <v>0</v>
      </c>
      <c r="AY41" s="22">
        <f t="shared" si="3"/>
        <v>0</v>
      </c>
    </row>
    <row r="42" spans="1:51" x14ac:dyDescent="0.25">
      <c r="A42" s="19" t="s">
        <v>56</v>
      </c>
      <c r="B42" s="20" t="s">
        <v>34</v>
      </c>
      <c r="C42" s="25"/>
      <c r="D42" s="22"/>
      <c r="E42" s="25"/>
      <c r="F42" s="22"/>
      <c r="G42" s="25"/>
      <c r="H42" s="22"/>
      <c r="I42" s="25"/>
      <c r="J42" s="22"/>
      <c r="K42" s="25"/>
      <c r="L42" s="73"/>
      <c r="M42" s="25"/>
      <c r="N42" s="22"/>
      <c r="O42" s="25"/>
      <c r="P42" s="22"/>
      <c r="Q42" s="25"/>
      <c r="R42" s="22"/>
      <c r="S42" s="21"/>
      <c r="T42" s="22"/>
      <c r="U42" s="25"/>
      <c r="V42" s="22"/>
      <c r="W42" s="25"/>
      <c r="X42" s="22"/>
      <c r="Y42" s="25"/>
      <c r="Z42" s="22"/>
      <c r="AA42" s="21"/>
      <c r="AB42" s="22"/>
      <c r="AC42" s="25"/>
      <c r="AD42" s="22"/>
      <c r="AE42" s="25"/>
      <c r="AF42" s="22"/>
      <c r="AG42" s="25"/>
      <c r="AH42" s="22"/>
      <c r="AI42" s="25"/>
      <c r="AJ42" s="22"/>
      <c r="AK42" s="25"/>
      <c r="AL42" s="22"/>
      <c r="AM42" s="25"/>
      <c r="AN42" s="22"/>
      <c r="AO42" s="25"/>
      <c r="AP42" s="22"/>
      <c r="AQ42" s="25"/>
      <c r="AR42" s="22"/>
      <c r="AS42" s="25"/>
      <c r="AT42" s="22"/>
      <c r="AU42" s="25"/>
      <c r="AV42" s="22"/>
      <c r="AW42"/>
      <c r="AX42" s="74">
        <f t="shared" si="2"/>
        <v>0</v>
      </c>
      <c r="AY42" s="22">
        <f t="shared" si="3"/>
        <v>0</v>
      </c>
    </row>
    <row r="43" spans="1:51" x14ac:dyDescent="0.25">
      <c r="A43" s="19" t="s">
        <v>57</v>
      </c>
      <c r="B43" s="20" t="s">
        <v>53</v>
      </c>
      <c r="C43" s="25"/>
      <c r="D43" s="22"/>
      <c r="E43" s="25"/>
      <c r="F43" s="22"/>
      <c r="G43" s="25"/>
      <c r="H43" s="22"/>
      <c r="I43" s="25"/>
      <c r="J43" s="22"/>
      <c r="K43" s="25"/>
      <c r="L43" s="73"/>
      <c r="M43" s="25"/>
      <c r="N43" s="22"/>
      <c r="O43" s="25"/>
      <c r="P43" s="22"/>
      <c r="Q43" s="25"/>
      <c r="R43" s="22"/>
      <c r="S43" s="21"/>
      <c r="T43" s="22"/>
      <c r="U43" s="25"/>
      <c r="V43" s="22"/>
      <c r="W43" s="25"/>
      <c r="X43" s="22"/>
      <c r="Y43" s="25"/>
      <c r="Z43" s="22"/>
      <c r="AA43" s="21"/>
      <c r="AB43" s="22"/>
      <c r="AC43" s="25"/>
      <c r="AD43" s="22"/>
      <c r="AE43" s="25"/>
      <c r="AF43" s="22"/>
      <c r="AG43" s="25"/>
      <c r="AH43" s="22"/>
      <c r="AI43" s="25"/>
      <c r="AJ43" s="22"/>
      <c r="AK43" s="25"/>
      <c r="AL43" s="22"/>
      <c r="AM43" s="25"/>
      <c r="AN43" s="22"/>
      <c r="AO43" s="25"/>
      <c r="AP43" s="22"/>
      <c r="AQ43" s="25"/>
      <c r="AR43" s="22"/>
      <c r="AS43" s="25"/>
      <c r="AT43" s="22"/>
      <c r="AU43" s="25"/>
      <c r="AV43" s="22"/>
      <c r="AW43"/>
      <c r="AX43" s="74">
        <f t="shared" si="2"/>
        <v>0</v>
      </c>
      <c r="AY43" s="22">
        <f t="shared" si="3"/>
        <v>0</v>
      </c>
    </row>
    <row r="44" spans="1:51" x14ac:dyDescent="0.25">
      <c r="A44" s="19" t="s">
        <v>58</v>
      </c>
      <c r="B44" s="20" t="s">
        <v>34</v>
      </c>
      <c r="C44" s="25"/>
      <c r="D44" s="22"/>
      <c r="E44" s="25"/>
      <c r="F44" s="22"/>
      <c r="G44" s="25"/>
      <c r="H44" s="22"/>
      <c r="I44" s="25"/>
      <c r="J44" s="22"/>
      <c r="K44" s="25"/>
      <c r="L44" s="73"/>
      <c r="M44" s="25"/>
      <c r="N44" s="22"/>
      <c r="O44" s="25"/>
      <c r="P44" s="22"/>
      <c r="Q44" s="25"/>
      <c r="R44" s="22"/>
      <c r="S44" s="21"/>
      <c r="T44" s="22"/>
      <c r="U44" s="25"/>
      <c r="V44" s="22"/>
      <c r="W44" s="25"/>
      <c r="X44" s="22"/>
      <c r="Y44" s="25"/>
      <c r="Z44" s="22"/>
      <c r="AA44" s="21"/>
      <c r="AB44" s="22"/>
      <c r="AC44" s="25"/>
      <c r="AD44" s="22"/>
      <c r="AE44" s="25"/>
      <c r="AF44" s="22"/>
      <c r="AG44" s="25"/>
      <c r="AH44" s="22"/>
      <c r="AI44" s="25"/>
      <c r="AJ44" s="22"/>
      <c r="AK44" s="25"/>
      <c r="AL44" s="22"/>
      <c r="AM44" s="25"/>
      <c r="AN44" s="22"/>
      <c r="AO44" s="25"/>
      <c r="AP44" s="22"/>
      <c r="AQ44" s="25"/>
      <c r="AR44" s="22"/>
      <c r="AS44" s="25"/>
      <c r="AT44" s="22"/>
      <c r="AU44" s="25"/>
      <c r="AV44" s="22"/>
      <c r="AW44"/>
      <c r="AX44" s="74">
        <f t="shared" si="2"/>
        <v>0</v>
      </c>
      <c r="AY44" s="22">
        <f t="shared" si="3"/>
        <v>0</v>
      </c>
    </row>
    <row r="45" spans="1:51" x14ac:dyDescent="0.25">
      <c r="A45" s="19" t="s">
        <v>110</v>
      </c>
      <c r="B45" s="20" t="s">
        <v>34</v>
      </c>
      <c r="C45" s="25"/>
      <c r="D45" s="22"/>
      <c r="E45" s="25"/>
      <c r="F45" s="22"/>
      <c r="G45" s="25"/>
      <c r="H45" s="22"/>
      <c r="I45" s="25"/>
      <c r="J45" s="22"/>
      <c r="K45" s="25"/>
      <c r="L45" s="73"/>
      <c r="M45" s="25"/>
      <c r="N45" s="22"/>
      <c r="O45" s="25"/>
      <c r="P45" s="22"/>
      <c r="Q45" s="25"/>
      <c r="R45" s="22"/>
      <c r="S45" s="21"/>
      <c r="T45" s="22"/>
      <c r="U45" s="25"/>
      <c r="V45" s="22"/>
      <c r="W45" s="25"/>
      <c r="X45" s="22"/>
      <c r="Y45" s="25"/>
      <c r="Z45" s="22"/>
      <c r="AA45" s="21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5"/>
      <c r="AN45" s="22"/>
      <c r="AO45" s="25"/>
      <c r="AP45" s="22"/>
      <c r="AQ45" s="25"/>
      <c r="AR45" s="22"/>
      <c r="AS45" s="25"/>
      <c r="AT45" s="22"/>
      <c r="AU45" s="25"/>
      <c r="AV45" s="22"/>
      <c r="AW45"/>
      <c r="AX45" s="74">
        <f t="shared" si="2"/>
        <v>0</v>
      </c>
      <c r="AY45" s="22">
        <f t="shared" si="3"/>
        <v>0</v>
      </c>
    </row>
    <row r="46" spans="1:51" x14ac:dyDescent="0.25">
      <c r="A46" s="19" t="s">
        <v>111</v>
      </c>
      <c r="B46" s="20" t="s">
        <v>34</v>
      </c>
      <c r="C46" s="25"/>
      <c r="D46" s="22"/>
      <c r="E46" s="25"/>
      <c r="F46" s="22"/>
      <c r="G46" s="25"/>
      <c r="H46" s="22"/>
      <c r="I46" s="25"/>
      <c r="J46" s="22"/>
      <c r="K46" s="25"/>
      <c r="L46" s="73"/>
      <c r="M46" s="25"/>
      <c r="N46" s="22"/>
      <c r="O46" s="25"/>
      <c r="P46" s="22"/>
      <c r="Q46" s="25"/>
      <c r="R46" s="22"/>
      <c r="S46" s="21"/>
      <c r="T46" s="22"/>
      <c r="U46" s="25"/>
      <c r="V46" s="22"/>
      <c r="W46" s="25"/>
      <c r="X46" s="22"/>
      <c r="Y46" s="25"/>
      <c r="Z46" s="22"/>
      <c r="AA46" s="21"/>
      <c r="AB46" s="22"/>
      <c r="AC46" s="25"/>
      <c r="AD46" s="22"/>
      <c r="AE46" s="25"/>
      <c r="AF46" s="22"/>
      <c r="AG46" s="25"/>
      <c r="AH46" s="22"/>
      <c r="AI46" s="25"/>
      <c r="AJ46" s="22"/>
      <c r="AK46" s="25"/>
      <c r="AL46" s="22"/>
      <c r="AM46" s="25"/>
      <c r="AN46" s="22"/>
      <c r="AO46" s="25"/>
      <c r="AP46" s="22"/>
      <c r="AQ46" s="25"/>
      <c r="AR46" s="22"/>
      <c r="AS46" s="25"/>
      <c r="AT46" s="22"/>
      <c r="AU46" s="25"/>
      <c r="AV46" s="22"/>
      <c r="AW46"/>
      <c r="AX46" s="74">
        <f t="shared" si="2"/>
        <v>0</v>
      </c>
      <c r="AY46" s="22">
        <f t="shared" si="3"/>
        <v>0</v>
      </c>
    </row>
    <row r="47" spans="1:51" x14ac:dyDescent="0.25">
      <c r="A47" s="19" t="s">
        <v>112</v>
      </c>
      <c r="B47" s="20" t="s">
        <v>53</v>
      </c>
      <c r="C47" s="25"/>
      <c r="D47" s="22"/>
      <c r="E47" s="25"/>
      <c r="F47" s="22"/>
      <c r="G47" s="25"/>
      <c r="H47" s="22"/>
      <c r="I47" s="25"/>
      <c r="J47" s="22"/>
      <c r="K47" s="25"/>
      <c r="L47" s="73"/>
      <c r="M47" s="25"/>
      <c r="N47" s="22"/>
      <c r="O47" s="25"/>
      <c r="P47" s="22"/>
      <c r="Q47" s="25"/>
      <c r="R47" s="22"/>
      <c r="S47" s="21"/>
      <c r="T47" s="22"/>
      <c r="U47" s="25"/>
      <c r="V47" s="22"/>
      <c r="W47" s="25"/>
      <c r="X47" s="22"/>
      <c r="Y47" s="25"/>
      <c r="Z47" s="22"/>
      <c r="AA47" s="21"/>
      <c r="AB47" s="22"/>
      <c r="AC47" s="25"/>
      <c r="AD47" s="22"/>
      <c r="AE47" s="25"/>
      <c r="AF47" s="22"/>
      <c r="AG47" s="25"/>
      <c r="AH47" s="22"/>
      <c r="AI47" s="25"/>
      <c r="AJ47" s="22"/>
      <c r="AK47" s="25"/>
      <c r="AL47" s="22"/>
      <c r="AM47" s="25"/>
      <c r="AN47" s="22"/>
      <c r="AO47" s="25"/>
      <c r="AP47" s="22"/>
      <c r="AQ47" s="25"/>
      <c r="AR47" s="22"/>
      <c r="AS47" s="25"/>
      <c r="AT47" s="22"/>
      <c r="AU47" s="25"/>
      <c r="AV47" s="22"/>
      <c r="AW47"/>
      <c r="AX47" s="74">
        <f t="shared" si="2"/>
        <v>0</v>
      </c>
      <c r="AY47" s="22">
        <f t="shared" si="3"/>
        <v>0</v>
      </c>
    </row>
    <row r="48" spans="1:51" x14ac:dyDescent="0.25">
      <c r="A48" s="19" t="s">
        <v>203</v>
      </c>
      <c r="B48" s="20" t="s">
        <v>34</v>
      </c>
      <c r="C48" s="25"/>
      <c r="D48" s="22"/>
      <c r="E48" s="25"/>
      <c r="F48" s="22"/>
      <c r="G48" s="25"/>
      <c r="H48" s="22"/>
      <c r="I48" s="25"/>
      <c r="J48" s="22"/>
      <c r="K48" s="25"/>
      <c r="L48" s="73"/>
      <c r="M48" s="25"/>
      <c r="N48" s="22"/>
      <c r="O48" s="25"/>
      <c r="P48" s="22"/>
      <c r="Q48" s="25"/>
      <c r="R48" s="22"/>
      <c r="S48" s="21"/>
      <c r="T48" s="22"/>
      <c r="U48" s="25"/>
      <c r="V48" s="22"/>
      <c r="W48" s="25"/>
      <c r="X48" s="22"/>
      <c r="Y48" s="25"/>
      <c r="Z48" s="22"/>
      <c r="AA48" s="21"/>
      <c r="AB48" s="22"/>
      <c r="AC48" s="25"/>
      <c r="AD48" s="22"/>
      <c r="AE48" s="25"/>
      <c r="AF48" s="22"/>
      <c r="AG48" s="25"/>
      <c r="AH48" s="22"/>
      <c r="AI48" s="25"/>
      <c r="AJ48" s="22"/>
      <c r="AK48" s="25"/>
      <c r="AL48" s="22"/>
      <c r="AM48" s="25"/>
      <c r="AN48" s="22"/>
      <c r="AO48" s="25"/>
      <c r="AP48" s="22"/>
      <c r="AQ48" s="25"/>
      <c r="AR48" s="22"/>
      <c r="AS48" s="25"/>
      <c r="AT48" s="22"/>
      <c r="AU48" s="25"/>
      <c r="AV48" s="22"/>
      <c r="AW48"/>
      <c r="AX48" s="74">
        <f t="shared" si="2"/>
        <v>0</v>
      </c>
      <c r="AY48" s="22">
        <f t="shared" si="3"/>
        <v>0</v>
      </c>
    </row>
    <row r="49" spans="1:53" x14ac:dyDescent="0.25">
      <c r="A49" s="19" t="s">
        <v>134</v>
      </c>
      <c r="B49" s="20" t="s">
        <v>34</v>
      </c>
      <c r="C49" s="25"/>
      <c r="D49" s="22"/>
      <c r="E49" s="25"/>
      <c r="F49" s="22"/>
      <c r="G49" s="25"/>
      <c r="H49" s="22"/>
      <c r="I49" s="25"/>
      <c r="J49" s="22"/>
      <c r="K49" s="25"/>
      <c r="L49" s="73"/>
      <c r="M49" s="25"/>
      <c r="N49" s="22"/>
      <c r="O49" s="25"/>
      <c r="P49" s="22"/>
      <c r="Q49" s="25"/>
      <c r="R49" s="22"/>
      <c r="S49" s="21"/>
      <c r="T49" s="22"/>
      <c r="U49" s="25"/>
      <c r="V49" s="22"/>
      <c r="W49" s="25"/>
      <c r="X49" s="22"/>
      <c r="Y49" s="25"/>
      <c r="Z49" s="22"/>
      <c r="AA49" s="21"/>
      <c r="AB49" s="22"/>
      <c r="AC49" s="25"/>
      <c r="AD49" s="22"/>
      <c r="AE49" s="25"/>
      <c r="AF49" s="22"/>
      <c r="AG49" s="25"/>
      <c r="AH49" s="22"/>
      <c r="AI49" s="25"/>
      <c r="AJ49" s="22"/>
      <c r="AK49" s="25"/>
      <c r="AL49" s="22"/>
      <c r="AM49" s="25"/>
      <c r="AN49" s="22"/>
      <c r="AO49" s="25"/>
      <c r="AP49" s="22"/>
      <c r="AQ49" s="25"/>
      <c r="AR49" s="22"/>
      <c r="AS49" s="25"/>
      <c r="AT49" s="22"/>
      <c r="AU49" s="25"/>
      <c r="AV49" s="22"/>
      <c r="AW49"/>
      <c r="AX49" s="74">
        <f t="shared" si="2"/>
        <v>0</v>
      </c>
      <c r="AY49" s="22">
        <f t="shared" si="3"/>
        <v>0</v>
      </c>
    </row>
    <row r="50" spans="1:53" x14ac:dyDescent="0.25">
      <c r="A50" s="19" t="s">
        <v>204</v>
      </c>
      <c r="B50" s="20" t="s">
        <v>34</v>
      </c>
      <c r="C50" s="25"/>
      <c r="D50" s="22">
        <v>6.99</v>
      </c>
      <c r="E50" s="25"/>
      <c r="F50" s="22">
        <v>7.64</v>
      </c>
      <c r="G50" s="25"/>
      <c r="H50" s="22">
        <f>12.07+10</f>
        <v>22.07</v>
      </c>
      <c r="I50" s="25"/>
      <c r="J50" s="22">
        <v>6.94</v>
      </c>
      <c r="K50" s="25"/>
      <c r="L50" s="73">
        <v>7.94</v>
      </c>
      <c r="M50" s="25"/>
      <c r="N50" s="22">
        <v>4.6900000000000004</v>
      </c>
      <c r="O50" s="25"/>
      <c r="P50" s="22"/>
      <c r="Q50" s="25"/>
      <c r="R50" s="22"/>
      <c r="S50" s="21"/>
      <c r="T50" s="22"/>
      <c r="U50" s="25"/>
      <c r="V50" s="22"/>
      <c r="W50" s="25"/>
      <c r="X50" s="22"/>
      <c r="Y50" s="25"/>
      <c r="Z50" s="22"/>
      <c r="AA50" s="21"/>
      <c r="AB50" s="22"/>
      <c r="AC50" s="25"/>
      <c r="AD50" s="22"/>
      <c r="AE50" s="25"/>
      <c r="AF50" s="22"/>
      <c r="AG50" s="25"/>
      <c r="AH50" s="22"/>
      <c r="AI50" s="25"/>
      <c r="AJ50" s="22"/>
      <c r="AK50" s="25"/>
      <c r="AL50" s="22"/>
      <c r="AM50" s="25"/>
      <c r="AN50" s="22"/>
      <c r="AO50" s="25"/>
      <c r="AP50" s="22"/>
      <c r="AQ50" s="25"/>
      <c r="AR50" s="22"/>
      <c r="AS50" s="25"/>
      <c r="AT50" s="22"/>
      <c r="AU50" s="25"/>
      <c r="AV50" s="22"/>
      <c r="AW50"/>
      <c r="AX50" s="74">
        <f t="shared" si="2"/>
        <v>56.27</v>
      </c>
      <c r="AY50" s="22">
        <f t="shared" si="3"/>
        <v>53.336492890995267</v>
      </c>
    </row>
    <row r="51" spans="1:53" x14ac:dyDescent="0.25">
      <c r="A51" s="19" t="s">
        <v>59</v>
      </c>
      <c r="B51" s="20"/>
      <c r="C51" s="25"/>
      <c r="D51" s="22"/>
      <c r="E51" s="25"/>
      <c r="F51" s="22">
        <v>3.84</v>
      </c>
      <c r="G51" s="25"/>
      <c r="H51" s="22">
        <f>11.14+10</f>
        <v>21.14</v>
      </c>
      <c r="I51" s="25"/>
      <c r="J51" s="22">
        <v>1</v>
      </c>
      <c r="K51" s="25"/>
      <c r="L51" s="73">
        <f>4.12+4.35+1</f>
        <v>9.4699999999999989</v>
      </c>
      <c r="M51" s="25"/>
      <c r="N51" s="22">
        <f>8.86+6+1+1+14.8+5</f>
        <v>36.659999999999997</v>
      </c>
      <c r="O51" s="25"/>
      <c r="P51" s="22"/>
      <c r="Q51" s="25"/>
      <c r="R51" s="22"/>
      <c r="S51" s="21"/>
      <c r="T51" s="22"/>
      <c r="U51" s="25"/>
      <c r="V51" s="22"/>
      <c r="W51" s="25"/>
      <c r="X51" s="22"/>
      <c r="Y51" s="25"/>
      <c r="Z51" s="22"/>
      <c r="AA51" s="21"/>
      <c r="AB51" s="22"/>
      <c r="AC51" s="25"/>
      <c r="AD51" s="22"/>
      <c r="AE51" s="25"/>
      <c r="AF51" s="22"/>
      <c r="AG51" s="25"/>
      <c r="AH51" s="22"/>
      <c r="AI51" s="25"/>
      <c r="AJ51" s="22"/>
      <c r="AK51" s="25"/>
      <c r="AL51" s="22"/>
      <c r="AM51" s="25"/>
      <c r="AN51" s="22"/>
      <c r="AO51" s="25"/>
      <c r="AP51" s="22"/>
      <c r="AQ51" s="25"/>
      <c r="AR51" s="22"/>
      <c r="AS51" s="25"/>
      <c r="AT51" s="22"/>
      <c r="AU51" s="25"/>
      <c r="AV51" s="22"/>
      <c r="AW51"/>
      <c r="AX51" s="74">
        <f t="shared" si="2"/>
        <v>72.11</v>
      </c>
      <c r="AY51" s="22">
        <f t="shared" si="3"/>
        <v>68.350710900473942</v>
      </c>
    </row>
    <row r="52" spans="1:53" s="18" customFormat="1" x14ac:dyDescent="0.25">
      <c r="A52" s="12" t="s">
        <v>60</v>
      </c>
      <c r="B52" s="13"/>
      <c r="C52" s="14"/>
      <c r="D52" s="15">
        <f>SUM(D53:D60)</f>
        <v>29.310000000000002</v>
      </c>
      <c r="E52" s="14"/>
      <c r="F52" s="15">
        <f>SUM(F53:F60)</f>
        <v>6.77</v>
      </c>
      <c r="G52" s="14"/>
      <c r="H52" s="15">
        <f>SUM(H53:H60)</f>
        <v>23.5</v>
      </c>
      <c r="I52" s="14"/>
      <c r="J52" s="15">
        <f>SUM(J53:J60)</f>
        <v>25.49</v>
      </c>
      <c r="K52" s="70"/>
      <c r="L52" s="70">
        <f>SUM(L53:L60)</f>
        <v>7.4899999999999993</v>
      </c>
      <c r="M52" s="14"/>
      <c r="N52" s="15">
        <f>SUM(N53:N60)</f>
        <v>52.69</v>
      </c>
      <c r="O52" s="14"/>
      <c r="P52" s="15">
        <f>SUM(P53:P60)</f>
        <v>0</v>
      </c>
      <c r="Q52" s="14"/>
      <c r="R52" s="15">
        <f>SUM(R53:R60)</f>
        <v>0</v>
      </c>
      <c r="S52" s="14"/>
      <c r="T52" s="15">
        <f>SUM(T53:T60)</f>
        <v>0</v>
      </c>
      <c r="U52" s="14"/>
      <c r="V52" s="15">
        <f>SUM(V53:V60)</f>
        <v>0</v>
      </c>
      <c r="W52" s="14"/>
      <c r="X52" s="15">
        <f>SUM(X53:X60)</f>
        <v>0</v>
      </c>
      <c r="Y52" s="14"/>
      <c r="Z52" s="15">
        <f>SUM(Z53:Z60)</f>
        <v>0</v>
      </c>
      <c r="AA52" s="14"/>
      <c r="AB52" s="15">
        <f>SUM(AB53:AB60)</f>
        <v>0</v>
      </c>
      <c r="AC52" s="14"/>
      <c r="AD52" s="15">
        <f>SUM(AD53:AD60)</f>
        <v>0</v>
      </c>
      <c r="AE52" s="14"/>
      <c r="AF52" s="15">
        <f>SUM(AF53:AF60)</f>
        <v>0</v>
      </c>
      <c r="AG52" s="14"/>
      <c r="AH52" s="15">
        <f>SUM(AH53:AH60)</f>
        <v>0</v>
      </c>
      <c r="AI52" s="14"/>
      <c r="AJ52" s="15">
        <f>SUM(AJ53:AJ60)</f>
        <v>0</v>
      </c>
      <c r="AK52" s="14"/>
      <c r="AL52" s="15">
        <f>SUM(AL53:AL60)</f>
        <v>0</v>
      </c>
      <c r="AM52" s="14"/>
      <c r="AN52" s="15">
        <f>SUM(AN53:AN60)</f>
        <v>0</v>
      </c>
      <c r="AO52" s="14"/>
      <c r="AP52" s="15">
        <f>SUM(AP53:AP60)</f>
        <v>0</v>
      </c>
      <c r="AQ52" s="14"/>
      <c r="AR52" s="15">
        <f>SUM(AR53:AR60)</f>
        <v>0</v>
      </c>
      <c r="AS52" s="14"/>
      <c r="AT52" s="15">
        <f>SUM(AT53:AT60)</f>
        <v>0</v>
      </c>
      <c r="AU52" s="14"/>
      <c r="AV52" s="15">
        <f>SUM(AV53:AV60)</f>
        <v>0</v>
      </c>
      <c r="AX52" s="71">
        <f t="shared" si="2"/>
        <v>145.25</v>
      </c>
      <c r="AY52" s="15">
        <f t="shared" si="3"/>
        <v>137.67772511848341</v>
      </c>
    </row>
    <row r="53" spans="1:53" x14ac:dyDescent="0.25">
      <c r="A53" s="19" t="s">
        <v>61</v>
      </c>
      <c r="B53" s="20" t="s">
        <v>34</v>
      </c>
      <c r="C53" s="25"/>
      <c r="D53" s="22">
        <v>10.43</v>
      </c>
      <c r="E53" s="25"/>
      <c r="F53" s="22"/>
      <c r="G53" s="25"/>
      <c r="H53" s="22"/>
      <c r="I53" s="25"/>
      <c r="J53" s="22">
        <v>6</v>
      </c>
      <c r="K53" s="1"/>
      <c r="L53" s="73">
        <v>6.6</v>
      </c>
      <c r="M53" s="25"/>
      <c r="N53" s="22">
        <v>4.28</v>
      </c>
      <c r="O53" s="25"/>
      <c r="P53" s="22"/>
      <c r="Q53" s="25"/>
      <c r="R53" s="22"/>
      <c r="S53" s="25"/>
      <c r="T53" s="22"/>
      <c r="U53" s="25"/>
      <c r="V53" s="22"/>
      <c r="W53" s="25"/>
      <c r="X53" s="22"/>
      <c r="Y53" s="25"/>
      <c r="Z53" s="22"/>
      <c r="AA53" s="25"/>
      <c r="AB53" s="22"/>
      <c r="AC53" s="25"/>
      <c r="AD53" s="22"/>
      <c r="AE53" s="25"/>
      <c r="AF53" s="22"/>
      <c r="AG53" s="25"/>
      <c r="AH53" s="22"/>
      <c r="AI53" s="25"/>
      <c r="AJ53" s="22"/>
      <c r="AK53" s="25"/>
      <c r="AL53" s="22"/>
      <c r="AM53" s="25"/>
      <c r="AN53" s="22"/>
      <c r="AO53" s="25"/>
      <c r="AP53" s="22"/>
      <c r="AQ53" s="25"/>
      <c r="AR53" s="22"/>
      <c r="AS53" s="25"/>
      <c r="AT53" s="22"/>
      <c r="AU53" s="25"/>
      <c r="AV53" s="22"/>
      <c r="AW53"/>
      <c r="AX53" s="74">
        <f t="shared" si="2"/>
        <v>27.31</v>
      </c>
      <c r="AY53" s="22">
        <f t="shared" si="3"/>
        <v>25.886255924170616</v>
      </c>
    </row>
    <row r="54" spans="1:53" x14ac:dyDescent="0.25">
      <c r="A54" s="19" t="s">
        <v>62</v>
      </c>
      <c r="B54" s="20" t="s">
        <v>34</v>
      </c>
      <c r="C54"/>
      <c r="D54" s="22"/>
      <c r="E54"/>
      <c r="F54" s="22"/>
      <c r="G54"/>
      <c r="H54" s="22"/>
      <c r="I54"/>
      <c r="J54" s="22"/>
      <c r="K54" s="1"/>
      <c r="L54" s="22"/>
      <c r="M54"/>
      <c r="N54" s="22"/>
      <c r="O54"/>
      <c r="P54" s="22"/>
      <c r="Q54"/>
      <c r="R54" s="22"/>
      <c r="S54"/>
      <c r="T54" s="22"/>
      <c r="U54"/>
      <c r="V54" s="22"/>
      <c r="W54"/>
      <c r="X54" s="22"/>
      <c r="Y54"/>
      <c r="Z54" s="22"/>
      <c r="AA54"/>
      <c r="AB54" s="22"/>
      <c r="AC54"/>
      <c r="AD54" s="22"/>
      <c r="AE54"/>
      <c r="AF54" s="22"/>
      <c r="AG54"/>
      <c r="AH54" s="22"/>
      <c r="AI54"/>
      <c r="AJ54" s="22"/>
      <c r="AK54"/>
      <c r="AL54" s="22"/>
      <c r="AM54"/>
      <c r="AN54" s="22"/>
      <c r="AO54"/>
      <c r="AP54" s="22"/>
      <c r="AQ54"/>
      <c r="AR54" s="22"/>
      <c r="AS54"/>
      <c r="AT54" s="22"/>
      <c r="AU54"/>
      <c r="AV54" s="22"/>
      <c r="AW54"/>
      <c r="AX54" s="74">
        <f t="shared" si="2"/>
        <v>0</v>
      </c>
      <c r="AY54" s="22">
        <f t="shared" si="3"/>
        <v>0</v>
      </c>
    </row>
    <row r="55" spans="1:53" x14ac:dyDescent="0.25">
      <c r="A55" s="19" t="s">
        <v>63</v>
      </c>
      <c r="B55" s="20" t="s">
        <v>34</v>
      </c>
      <c r="C55"/>
      <c r="D55" s="22">
        <v>5.6</v>
      </c>
      <c r="E55"/>
      <c r="F55" s="22"/>
      <c r="G55"/>
      <c r="H55" s="22"/>
      <c r="I55"/>
      <c r="J55" s="22"/>
      <c r="K55" s="1"/>
      <c r="L55" s="22"/>
      <c r="M55"/>
      <c r="N55" s="22">
        <v>2.95</v>
      </c>
      <c r="O55"/>
      <c r="P55" s="22"/>
      <c r="Q55"/>
      <c r="R55" s="22"/>
      <c r="S55"/>
      <c r="T55" s="22"/>
      <c r="U55"/>
      <c r="V55" s="22"/>
      <c r="W55"/>
      <c r="X55" s="22"/>
      <c r="Y55"/>
      <c r="Z55" s="22"/>
      <c r="AA55"/>
      <c r="AB55" s="22"/>
      <c r="AC55"/>
      <c r="AD55" s="22"/>
      <c r="AE55"/>
      <c r="AF55" s="22"/>
      <c r="AG55"/>
      <c r="AH55" s="22"/>
      <c r="AI55"/>
      <c r="AJ55" s="22"/>
      <c r="AK55"/>
      <c r="AL55" s="22"/>
      <c r="AM55"/>
      <c r="AN55" s="22"/>
      <c r="AO55"/>
      <c r="AP55" s="22"/>
      <c r="AQ55"/>
      <c r="AR55" s="22"/>
      <c r="AS55"/>
      <c r="AT55" s="22"/>
      <c r="AU55"/>
      <c r="AV55" s="22"/>
      <c r="AW55"/>
      <c r="AX55" s="74">
        <f t="shared" si="2"/>
        <v>8.5500000000000007</v>
      </c>
      <c r="AY55" s="22">
        <f t="shared" si="3"/>
        <v>8.1042654028436036</v>
      </c>
    </row>
    <row r="56" spans="1:53" x14ac:dyDescent="0.25">
      <c r="A56" s="19" t="s">
        <v>64</v>
      </c>
      <c r="B56" s="20" t="s">
        <v>34</v>
      </c>
      <c r="C56" s="25"/>
      <c r="D56" s="22">
        <v>6</v>
      </c>
      <c r="E56" s="25"/>
      <c r="F56" s="22"/>
      <c r="G56" s="25"/>
      <c r="H56" s="22">
        <v>3.78</v>
      </c>
      <c r="I56" s="25"/>
      <c r="J56" s="22">
        <v>14.22</v>
      </c>
      <c r="K56" s="1"/>
      <c r="L56" s="73"/>
      <c r="M56" s="25"/>
      <c r="N56" s="22">
        <v>9.89</v>
      </c>
      <c r="O56" s="25"/>
      <c r="P56" s="22"/>
      <c r="Q56" s="25"/>
      <c r="R56" s="22"/>
      <c r="S56" s="25"/>
      <c r="T56" s="22"/>
      <c r="U56" s="85"/>
      <c r="V56" s="22"/>
      <c r="W56" s="25"/>
      <c r="X56" s="22"/>
      <c r="Y56" s="25"/>
      <c r="Z56" s="22"/>
      <c r="AA56" s="25"/>
      <c r="AB56" s="22"/>
      <c r="AC56" s="25"/>
      <c r="AD56" s="22"/>
      <c r="AE56" s="25"/>
      <c r="AF56" s="22"/>
      <c r="AG56" s="25"/>
      <c r="AH56" s="22"/>
      <c r="AI56" s="25"/>
      <c r="AJ56" s="22"/>
      <c r="AK56" s="25"/>
      <c r="AL56" s="22"/>
      <c r="AM56" s="25"/>
      <c r="AN56" s="22"/>
      <c r="AO56" s="25"/>
      <c r="AP56" s="22"/>
      <c r="AQ56" s="25"/>
      <c r="AR56" s="22"/>
      <c r="AS56" s="25"/>
      <c r="AT56" s="22"/>
      <c r="AU56" s="25"/>
      <c r="AV56" s="22"/>
      <c r="AW56"/>
      <c r="AX56" s="74">
        <f t="shared" si="2"/>
        <v>33.89</v>
      </c>
      <c r="AY56" s="22">
        <f t="shared" si="3"/>
        <v>32.123222748815166</v>
      </c>
    </row>
    <row r="57" spans="1:53" x14ac:dyDescent="0.25">
      <c r="A57" s="19" t="s">
        <v>65</v>
      </c>
      <c r="B57" s="20" t="s">
        <v>34</v>
      </c>
      <c r="C57" s="25"/>
      <c r="D57" s="22"/>
      <c r="E57" s="25"/>
      <c r="F57" s="22"/>
      <c r="G57" s="25"/>
      <c r="H57" s="22"/>
      <c r="I57" s="25"/>
      <c r="J57" s="22"/>
      <c r="K57" s="1"/>
      <c r="L57" s="73"/>
      <c r="M57" s="25"/>
      <c r="N57" s="22"/>
      <c r="O57" s="25"/>
      <c r="P57" s="22"/>
      <c r="Q57" s="25"/>
      <c r="R57" s="22"/>
      <c r="S57" s="25"/>
      <c r="T57" s="22"/>
      <c r="U57" s="25"/>
      <c r="V57" s="22"/>
      <c r="W57" s="25"/>
      <c r="X57" s="22"/>
      <c r="Y57" s="25"/>
      <c r="Z57" s="22"/>
      <c r="AA57" s="25"/>
      <c r="AB57" s="22"/>
      <c r="AC57" s="25"/>
      <c r="AD57" s="22"/>
      <c r="AE57" s="25"/>
      <c r="AF57" s="22"/>
      <c r="AG57" s="25"/>
      <c r="AH57" s="22"/>
      <c r="AI57" s="25"/>
      <c r="AJ57" s="22"/>
      <c r="AK57" s="25"/>
      <c r="AL57" s="22"/>
      <c r="AM57" s="25"/>
      <c r="AN57" s="22"/>
      <c r="AO57" s="25"/>
      <c r="AP57" s="22"/>
      <c r="AQ57" s="25"/>
      <c r="AR57" s="22"/>
      <c r="AS57" s="25"/>
      <c r="AT57" s="22"/>
      <c r="AU57" s="25"/>
      <c r="AV57" s="22"/>
      <c r="AW57"/>
      <c r="AX57" s="74">
        <f t="shared" si="2"/>
        <v>0</v>
      </c>
      <c r="AY57" s="22">
        <f t="shared" si="3"/>
        <v>0</v>
      </c>
    </row>
    <row r="58" spans="1:53" x14ac:dyDescent="0.25">
      <c r="A58" s="19" t="s">
        <v>66</v>
      </c>
      <c r="B58" s="20" t="s">
        <v>34</v>
      </c>
      <c r="C58" s="25"/>
      <c r="D58" s="22"/>
      <c r="E58" s="25"/>
      <c r="F58" s="22">
        <v>6.77</v>
      </c>
      <c r="G58" s="25"/>
      <c r="H58" s="22">
        <v>19.72</v>
      </c>
      <c r="I58" s="25"/>
      <c r="J58" s="22">
        <f>4.27+1</f>
        <v>5.27</v>
      </c>
      <c r="K58" s="1"/>
      <c r="L58" s="73">
        <v>0.89</v>
      </c>
      <c r="M58" s="25"/>
      <c r="N58" s="22">
        <f>18.07+5+0.8</f>
        <v>23.87</v>
      </c>
      <c r="O58" s="25"/>
      <c r="P58" s="22"/>
      <c r="Q58" s="25"/>
      <c r="R58" s="22"/>
      <c r="S58" s="25"/>
      <c r="T58" s="22"/>
      <c r="U58" s="25"/>
      <c r="V58" s="22"/>
      <c r="W58" s="25"/>
      <c r="X58" s="22"/>
      <c r="Y58" s="25"/>
      <c r="Z58" s="22"/>
      <c r="AA58" s="25"/>
      <c r="AB58" s="22"/>
      <c r="AC58" s="25"/>
      <c r="AD58" s="22"/>
      <c r="AE58" s="25"/>
      <c r="AF58" s="22"/>
      <c r="AG58" s="25"/>
      <c r="AH58" s="22"/>
      <c r="AI58" s="25"/>
      <c r="AJ58" s="22"/>
      <c r="AK58" s="25"/>
      <c r="AL58" s="22"/>
      <c r="AM58" s="25"/>
      <c r="AN58" s="22"/>
      <c r="AO58" s="25"/>
      <c r="AP58" s="22"/>
      <c r="AQ58" s="25"/>
      <c r="AR58" s="22"/>
      <c r="AS58" s="25"/>
      <c r="AT58" s="22"/>
      <c r="AU58" s="25"/>
      <c r="AV58" s="22"/>
      <c r="AW58"/>
      <c r="AX58" s="74">
        <f t="shared" si="2"/>
        <v>56.519999999999996</v>
      </c>
      <c r="AY58" s="22">
        <f t="shared" si="3"/>
        <v>53.573459715639807</v>
      </c>
    </row>
    <row r="59" spans="1:53" x14ac:dyDescent="0.25">
      <c r="A59" s="19" t="s">
        <v>38</v>
      </c>
      <c r="B59" s="20" t="s">
        <v>34</v>
      </c>
      <c r="C59" s="25"/>
      <c r="D59" s="22">
        <v>7.28</v>
      </c>
      <c r="E59" s="25"/>
      <c r="F59" s="22"/>
      <c r="G59" s="25"/>
      <c r="H59" s="22"/>
      <c r="I59" s="25"/>
      <c r="J59" s="22"/>
      <c r="K59" s="1"/>
      <c r="L59" s="73"/>
      <c r="M59" s="25"/>
      <c r="N59" s="22">
        <v>11.7</v>
      </c>
      <c r="O59" s="25"/>
      <c r="P59" s="22"/>
      <c r="Q59" s="25"/>
      <c r="R59" s="22"/>
      <c r="S59" s="25"/>
      <c r="T59" s="22"/>
      <c r="U59" s="25"/>
      <c r="V59" s="22"/>
      <c r="W59" s="25"/>
      <c r="X59" s="22"/>
      <c r="Y59" s="25"/>
      <c r="Z59" s="22"/>
      <c r="AA59" s="25"/>
      <c r="AB59" s="22"/>
      <c r="AC59" s="25"/>
      <c r="AD59" s="22"/>
      <c r="AE59" s="25"/>
      <c r="AF59" s="22"/>
      <c r="AG59" s="25"/>
      <c r="AH59" s="22"/>
      <c r="AI59" s="25"/>
      <c r="AJ59" s="22"/>
      <c r="AK59" s="25"/>
      <c r="AL59" s="22"/>
      <c r="AM59" s="25"/>
      <c r="AN59" s="22"/>
      <c r="AO59" s="25"/>
      <c r="AP59" s="22"/>
      <c r="AQ59" s="25"/>
      <c r="AR59" s="22"/>
      <c r="AS59" s="25"/>
      <c r="AT59" s="22"/>
      <c r="AU59" s="25"/>
      <c r="AV59" s="22"/>
      <c r="AW59"/>
      <c r="AX59" s="74">
        <f t="shared" si="2"/>
        <v>18.98</v>
      </c>
      <c r="AY59" s="22">
        <f t="shared" si="3"/>
        <v>17.990521327014221</v>
      </c>
    </row>
    <row r="60" spans="1:53" x14ac:dyDescent="0.25">
      <c r="A60" s="19" t="s">
        <v>114</v>
      </c>
      <c r="B60" s="20"/>
      <c r="C60" s="25"/>
      <c r="D60" s="22"/>
      <c r="E60" s="25"/>
      <c r="F60" s="22"/>
      <c r="G60" s="25"/>
      <c r="H60" s="22"/>
      <c r="I60" s="25"/>
      <c r="J60" s="22"/>
      <c r="K60" s="1"/>
      <c r="L60" s="73"/>
      <c r="M60" s="25"/>
      <c r="N60" s="22"/>
      <c r="O60" s="25"/>
      <c r="P60" s="22"/>
      <c r="Q60" s="25"/>
      <c r="R60" s="22"/>
      <c r="S60" s="25"/>
      <c r="T60" s="22"/>
      <c r="U60" s="25"/>
      <c r="V60" s="22"/>
      <c r="W60" s="25"/>
      <c r="X60" s="22"/>
      <c r="Y60" s="25"/>
      <c r="Z60" s="22"/>
      <c r="AA60" s="25"/>
      <c r="AB60" s="22"/>
      <c r="AC60" s="25"/>
      <c r="AD60" s="22"/>
      <c r="AE60" s="25"/>
      <c r="AF60" s="22"/>
      <c r="AG60" s="25"/>
      <c r="AH60" s="22"/>
      <c r="AI60" s="25"/>
      <c r="AJ60" s="22"/>
      <c r="AK60" s="25"/>
      <c r="AL60" s="22"/>
      <c r="AM60" s="25"/>
      <c r="AN60" s="22"/>
      <c r="AO60" s="25"/>
      <c r="AP60" s="22"/>
      <c r="AQ60" s="25"/>
      <c r="AR60" s="22"/>
      <c r="AS60" s="25"/>
      <c r="AT60" s="22"/>
      <c r="AU60" s="25"/>
      <c r="AV60" s="22"/>
      <c r="AW60"/>
      <c r="AX60" s="74">
        <f t="shared" si="2"/>
        <v>0</v>
      </c>
      <c r="AY60" s="22">
        <f t="shared" si="3"/>
        <v>0</v>
      </c>
    </row>
    <row r="61" spans="1:53" s="18" customFormat="1" x14ac:dyDescent="0.25">
      <c r="A61" s="12" t="s">
        <v>67</v>
      </c>
      <c r="B61" s="13"/>
      <c r="C61" s="14"/>
      <c r="D61" s="15">
        <f>SUM(D62:D63)</f>
        <v>5.4</v>
      </c>
      <c r="E61" s="14"/>
      <c r="F61" s="15">
        <f>SUM(F62:F63)</f>
        <v>2.5</v>
      </c>
      <c r="G61" s="14"/>
      <c r="H61" s="15">
        <f>SUM(H62:H63)</f>
        <v>10.4</v>
      </c>
      <c r="I61" s="14"/>
      <c r="J61" s="15">
        <f>SUM(J62:J63)</f>
        <v>2.5</v>
      </c>
      <c r="K61" s="70"/>
      <c r="L61" s="70">
        <f>SUM(L62:L63)</f>
        <v>5</v>
      </c>
      <c r="M61" s="14"/>
      <c r="N61" s="15">
        <f>SUM(N62:N63)</f>
        <v>10.4</v>
      </c>
      <c r="O61" s="14"/>
      <c r="P61" s="15">
        <f>SUM(P62:P63)</f>
        <v>0</v>
      </c>
      <c r="Q61" s="14"/>
      <c r="R61" s="15">
        <f>SUM(R62:R63)</f>
        <v>0</v>
      </c>
      <c r="S61" s="14"/>
      <c r="T61" s="15">
        <f>SUM(T62:T63)</f>
        <v>0</v>
      </c>
      <c r="U61" s="14"/>
      <c r="V61" s="15">
        <f>SUM(V62:V63)</f>
        <v>0</v>
      </c>
      <c r="W61" s="14"/>
      <c r="X61" s="15">
        <f>SUM(X62:X63)</f>
        <v>0</v>
      </c>
      <c r="Y61" s="14"/>
      <c r="Z61" s="15">
        <f>SUM(Z62:Z63)</f>
        <v>0</v>
      </c>
      <c r="AA61" s="14"/>
      <c r="AB61" s="15">
        <f>SUM(AB62:AB63)</f>
        <v>0</v>
      </c>
      <c r="AC61" s="14"/>
      <c r="AD61" s="15">
        <f>SUM(AD62:AD63)</f>
        <v>0</v>
      </c>
      <c r="AE61" s="14"/>
      <c r="AF61" s="15">
        <f>SUM(AF62:AF63)</f>
        <v>0</v>
      </c>
      <c r="AG61" s="14"/>
      <c r="AH61" s="15">
        <f>SUM(AH62:AH63)</f>
        <v>0</v>
      </c>
      <c r="AI61" s="14"/>
      <c r="AJ61" s="15">
        <f>SUM(AJ62:AJ63)</f>
        <v>0</v>
      </c>
      <c r="AK61" s="14"/>
      <c r="AL61" s="15">
        <f>SUM(AL62:AL63)</f>
        <v>0</v>
      </c>
      <c r="AM61" s="14"/>
      <c r="AN61" s="15">
        <f>SUM(AN62:AN63)</f>
        <v>0</v>
      </c>
      <c r="AO61" s="14"/>
      <c r="AP61" s="15">
        <f>SUM(AP62:AP63)</f>
        <v>0</v>
      </c>
      <c r="AQ61" s="14"/>
      <c r="AR61" s="15">
        <f>SUM(AR62:AR63)</f>
        <v>0</v>
      </c>
      <c r="AS61" s="14"/>
      <c r="AT61" s="15">
        <f>SUM(AT62:AT63)</f>
        <v>0</v>
      </c>
      <c r="AU61" s="14"/>
      <c r="AV61" s="15">
        <f>SUM(AV62:AV63)</f>
        <v>0</v>
      </c>
      <c r="AX61" s="71">
        <f t="shared" si="2"/>
        <v>36.199999999999996</v>
      </c>
      <c r="AY61" s="15">
        <f t="shared" si="3"/>
        <v>34.312796208530806</v>
      </c>
    </row>
    <row r="62" spans="1:53" x14ac:dyDescent="0.25">
      <c r="A62" s="19" t="s">
        <v>68</v>
      </c>
      <c r="B62" s="20" t="s">
        <v>69</v>
      </c>
      <c r="C62" s="21">
        <v>1</v>
      </c>
      <c r="D62" s="22">
        <v>2.5</v>
      </c>
      <c r="E62" s="21">
        <v>1</v>
      </c>
      <c r="F62" s="22">
        <v>2.5</v>
      </c>
      <c r="G62" s="21">
        <v>3</v>
      </c>
      <c r="H62" s="22">
        <v>7.5</v>
      </c>
      <c r="I62" s="21">
        <v>1</v>
      </c>
      <c r="J62" s="22">
        <v>2.5</v>
      </c>
      <c r="K62" s="24">
        <v>2</v>
      </c>
      <c r="L62" s="73">
        <v>5</v>
      </c>
      <c r="M62" s="21">
        <v>3</v>
      </c>
      <c r="N62" s="22">
        <v>7.5</v>
      </c>
      <c r="O62" s="21"/>
      <c r="P62" s="22"/>
      <c r="Q62" s="21"/>
      <c r="R62" s="22"/>
      <c r="S62" s="21"/>
      <c r="T62" s="22"/>
      <c r="U62" s="21"/>
      <c r="V62" s="22"/>
      <c r="W62" s="21"/>
      <c r="X62" s="22"/>
      <c r="Y62" s="21"/>
      <c r="Z62" s="22"/>
      <c r="AA62" s="21"/>
      <c r="AB62" s="22"/>
      <c r="AC62" s="21"/>
      <c r="AD62" s="22"/>
      <c r="AE62" s="21"/>
      <c r="AF62" s="22"/>
      <c r="AG62" s="21"/>
      <c r="AH62" s="22"/>
      <c r="AI62" s="21"/>
      <c r="AJ62" s="22"/>
      <c r="AK62" s="21"/>
      <c r="AL62" s="22"/>
      <c r="AM62" s="21"/>
      <c r="AN62" s="22"/>
      <c r="AO62" s="21"/>
      <c r="AP62" s="22"/>
      <c r="AQ62" s="21"/>
      <c r="AR62" s="22"/>
      <c r="AS62" s="21"/>
      <c r="AT62" s="22"/>
      <c r="AU62" s="21"/>
      <c r="AV62" s="22"/>
      <c r="AW62"/>
      <c r="AX62" s="74">
        <f t="shared" si="2"/>
        <v>27.5</v>
      </c>
      <c r="AY62" s="22">
        <f t="shared" si="3"/>
        <v>26.066350710900476</v>
      </c>
      <c r="BA62" s="75"/>
    </row>
    <row r="63" spans="1:53" x14ac:dyDescent="0.25">
      <c r="A63" s="7" t="s">
        <v>70</v>
      </c>
      <c r="B63" s="8" t="s">
        <v>69</v>
      </c>
      <c r="C63" s="26">
        <v>1</v>
      </c>
      <c r="D63" s="10">
        <v>2.9</v>
      </c>
      <c r="E63" s="26"/>
      <c r="F63" s="10"/>
      <c r="G63" s="26">
        <v>2</v>
      </c>
      <c r="H63" s="10">
        <v>2.9</v>
      </c>
      <c r="I63" s="26"/>
      <c r="J63" s="10"/>
      <c r="K63" s="26"/>
      <c r="L63" s="68"/>
      <c r="M63" s="26">
        <v>1</v>
      </c>
      <c r="N63" s="10">
        <v>2.9</v>
      </c>
      <c r="O63" s="26"/>
      <c r="P63" s="10"/>
      <c r="Q63" s="26"/>
      <c r="R63" s="10"/>
      <c r="S63" s="26"/>
      <c r="T63" s="10"/>
      <c r="U63" s="26"/>
      <c r="V63" s="10"/>
      <c r="W63" s="26"/>
      <c r="X63" s="10"/>
      <c r="Y63" s="26"/>
      <c r="Z63" s="10"/>
      <c r="AA63" s="26"/>
      <c r="AB63" s="10"/>
      <c r="AC63" s="26"/>
      <c r="AD63" s="10"/>
      <c r="AE63" s="26"/>
      <c r="AF63" s="10"/>
      <c r="AG63" s="26"/>
      <c r="AH63" s="10"/>
      <c r="AI63" s="26"/>
      <c r="AJ63" s="10"/>
      <c r="AK63" s="26"/>
      <c r="AL63" s="10"/>
      <c r="AM63" s="26"/>
      <c r="AN63" s="10"/>
      <c r="AO63" s="26"/>
      <c r="AP63" s="10"/>
      <c r="AQ63" s="26"/>
      <c r="AR63" s="10"/>
      <c r="AS63" s="26"/>
      <c r="AT63" s="10"/>
      <c r="AU63" s="26"/>
      <c r="AV63" s="10"/>
      <c r="AW63"/>
      <c r="AX63" s="77">
        <f t="shared" si="2"/>
        <v>8.6999999999999993</v>
      </c>
      <c r="AY63" s="10">
        <f t="shared" si="3"/>
        <v>8.2464454976303312</v>
      </c>
    </row>
    <row r="64" spans="1:53" s="18" customFormat="1" x14ac:dyDescent="0.25">
      <c r="A64" s="12" t="s">
        <v>71</v>
      </c>
      <c r="B64" s="13"/>
      <c r="C64" s="14"/>
      <c r="D64" s="15">
        <f>SUM(D65:D65)</f>
        <v>0</v>
      </c>
      <c r="E64" s="14"/>
      <c r="F64" s="15">
        <f>SUM(F65:F65)</f>
        <v>0</v>
      </c>
      <c r="G64" s="14"/>
      <c r="H64" s="15">
        <f>SUM(H65:H65)</f>
        <v>0</v>
      </c>
      <c r="I64" s="14"/>
      <c r="J64" s="15">
        <f>SUM(J65:J65)</f>
        <v>0</v>
      </c>
      <c r="K64" s="70"/>
      <c r="L64" s="70"/>
      <c r="M64" s="14"/>
      <c r="N64" s="15">
        <f>SUM(N65:N65)</f>
        <v>0</v>
      </c>
      <c r="O64" s="14"/>
      <c r="P64" s="15">
        <f>SUM(P65:P65)</f>
        <v>0</v>
      </c>
      <c r="Q64" s="14"/>
      <c r="R64" s="15">
        <f>SUM(R65:R65)</f>
        <v>0</v>
      </c>
      <c r="S64" s="14"/>
      <c r="T64" s="15">
        <f>SUM(T65:T65)</f>
        <v>0</v>
      </c>
      <c r="U64" s="14"/>
      <c r="V64" s="15">
        <f>SUM(V65:V65)</f>
        <v>0</v>
      </c>
      <c r="W64" s="14"/>
      <c r="X64" s="15">
        <f>SUM(X65:X65)</f>
        <v>0</v>
      </c>
      <c r="Y64" s="14"/>
      <c r="Z64" s="15">
        <f>SUM(Z65:Z65)</f>
        <v>0</v>
      </c>
      <c r="AA64" s="14"/>
      <c r="AB64" s="15">
        <f>SUM(AB65:AB65)</f>
        <v>0</v>
      </c>
      <c r="AC64" s="14"/>
      <c r="AD64" s="15">
        <f>SUM(AD65:AD65)</f>
        <v>0</v>
      </c>
      <c r="AE64" s="14"/>
      <c r="AF64" s="15">
        <f>SUM(AF65:AF65)</f>
        <v>0</v>
      </c>
      <c r="AG64" s="14"/>
      <c r="AH64" s="15">
        <f>SUM(AH65:AH65)</f>
        <v>0</v>
      </c>
      <c r="AI64" s="14"/>
      <c r="AJ64" s="15">
        <f>SUM(AJ65:AJ65)</f>
        <v>0</v>
      </c>
      <c r="AK64" s="14"/>
      <c r="AL64" s="15">
        <f>SUM(AL65:AL65)</f>
        <v>0</v>
      </c>
      <c r="AM64" s="14"/>
      <c r="AN64" s="15">
        <f>SUM(AN65:AN65)</f>
        <v>0</v>
      </c>
      <c r="AO64" s="14"/>
      <c r="AP64" s="15">
        <f>SUM(AP65:AP65)</f>
        <v>0</v>
      </c>
      <c r="AQ64" s="14"/>
      <c r="AR64" s="15">
        <f>SUM(AR65:AR65)</f>
        <v>0</v>
      </c>
      <c r="AS64" s="14"/>
      <c r="AT64" s="15">
        <f>SUM(AT65:AT65)</f>
        <v>0</v>
      </c>
      <c r="AU64" s="14"/>
      <c r="AV64" s="15">
        <f>SUM(AV65:AV65)</f>
        <v>0</v>
      </c>
      <c r="AX64" s="71">
        <f t="shared" si="2"/>
        <v>0</v>
      </c>
      <c r="AY64" s="15">
        <f t="shared" si="3"/>
        <v>0</v>
      </c>
    </row>
    <row r="65" spans="1:52" x14ac:dyDescent="0.25">
      <c r="A65" s="7" t="s">
        <v>72</v>
      </c>
      <c r="B65" s="8" t="s">
        <v>73</v>
      </c>
      <c r="C65" s="26"/>
      <c r="D65" s="10"/>
      <c r="E65" s="26"/>
      <c r="F65" s="10"/>
      <c r="G65" s="26"/>
      <c r="H65" s="10"/>
      <c r="I65" s="26"/>
      <c r="J65" s="10"/>
      <c r="K65" s="76"/>
      <c r="L65" s="68"/>
      <c r="M65" s="26"/>
      <c r="N65" s="10"/>
      <c r="O65" s="26"/>
      <c r="P65" s="10"/>
      <c r="Q65" s="26"/>
      <c r="R65" s="10"/>
      <c r="S65" s="26"/>
      <c r="T65" s="10"/>
      <c r="U65" s="26"/>
      <c r="V65" s="10"/>
      <c r="W65" s="26"/>
      <c r="X65" s="10"/>
      <c r="Y65" s="26"/>
      <c r="Z65" s="10"/>
      <c r="AA65" s="26"/>
      <c r="AB65" s="10"/>
      <c r="AC65" s="26"/>
      <c r="AD65" s="10"/>
      <c r="AE65" s="26"/>
      <c r="AF65" s="10"/>
      <c r="AG65" s="26"/>
      <c r="AH65" s="10"/>
      <c r="AI65" s="26"/>
      <c r="AJ65" s="10"/>
      <c r="AK65" s="26"/>
      <c r="AL65" s="10"/>
      <c r="AM65" s="26"/>
      <c r="AN65" s="10"/>
      <c r="AO65" s="26"/>
      <c r="AP65" s="10"/>
      <c r="AQ65" s="26"/>
      <c r="AR65" s="10"/>
      <c r="AS65" s="26"/>
      <c r="AT65" s="10"/>
      <c r="AU65" s="26"/>
      <c r="AV65" s="10"/>
      <c r="AW65"/>
      <c r="AX65" s="77">
        <f t="shared" si="2"/>
        <v>0</v>
      </c>
      <c r="AY65" s="10">
        <f t="shared" si="3"/>
        <v>0</v>
      </c>
    </row>
    <row r="66" spans="1:52" s="30" customFormat="1" x14ac:dyDescent="0.25">
      <c r="A66" s="138" t="s">
        <v>74</v>
      </c>
      <c r="B66" s="138"/>
      <c r="C66" s="28"/>
      <c r="D66" s="29">
        <f>D3+D33+D52+D61+D64</f>
        <v>116.14000000000001</v>
      </c>
      <c r="E66" s="28"/>
      <c r="F66" s="29">
        <f>F3+F33+F52+F61+F64</f>
        <v>65.12</v>
      </c>
      <c r="G66" s="28"/>
      <c r="H66" s="29">
        <f>H3+H33+H52+H61+H64</f>
        <v>156.15</v>
      </c>
      <c r="I66" s="28"/>
      <c r="J66" s="29">
        <f>J3+J33+J52+J61+J64</f>
        <v>116.02999999999999</v>
      </c>
      <c r="K66" s="29"/>
      <c r="L66" s="29">
        <f>L3+L33+L52+L61+L64</f>
        <v>105.29999999999998</v>
      </c>
      <c r="M66" s="28"/>
      <c r="N66" s="29">
        <f>N3+N33+N52+N61+N64</f>
        <v>171.19</v>
      </c>
      <c r="O66" s="28"/>
      <c r="P66" s="29">
        <f>P3+P33+P52+P61+P64</f>
        <v>0</v>
      </c>
      <c r="Q66" s="28"/>
      <c r="R66" s="29">
        <f>R3+R33+R52+R61+R64</f>
        <v>0</v>
      </c>
      <c r="S66" s="28"/>
      <c r="T66" s="29">
        <f>T3+T33+T52+T61+T64</f>
        <v>0</v>
      </c>
      <c r="U66" s="28"/>
      <c r="V66" s="29">
        <f>V3+V33+V52+V61+V64</f>
        <v>0</v>
      </c>
      <c r="W66" s="28"/>
      <c r="X66" s="29">
        <f>X3+X33+X52+X61+X64</f>
        <v>0</v>
      </c>
      <c r="Y66" s="28"/>
      <c r="Z66" s="29">
        <f>Z3+Z33+Z52+Z61+Z64</f>
        <v>0</v>
      </c>
      <c r="AA66" s="28"/>
      <c r="AB66" s="29">
        <f>AB3+AB33+AB52+AB61+AB64</f>
        <v>0</v>
      </c>
      <c r="AC66" s="28"/>
      <c r="AD66" s="29">
        <f>AD3+AD33+AD52+AD61+AD64</f>
        <v>0</v>
      </c>
      <c r="AE66" s="28"/>
      <c r="AF66" s="29">
        <f>AF3+AF33+AF52+AF61+AF64</f>
        <v>0</v>
      </c>
      <c r="AG66" s="28"/>
      <c r="AH66" s="29">
        <f>AH3+AH33+AH52+AH61+AH64</f>
        <v>0</v>
      </c>
      <c r="AI66" s="28"/>
      <c r="AJ66" s="29">
        <f>AJ3+AJ33+AJ52+AJ61+AJ64</f>
        <v>0</v>
      </c>
      <c r="AK66" s="28"/>
      <c r="AL66" s="29">
        <f>AL3+AL33+AL52+AL61+AL64</f>
        <v>0</v>
      </c>
      <c r="AM66" s="28"/>
      <c r="AN66" s="29">
        <f>AN3+AN33+AN52+AN61+AN64</f>
        <v>0</v>
      </c>
      <c r="AO66" s="28"/>
      <c r="AP66" s="29">
        <f>AP3+AP33+AP52+AP61+AP64</f>
        <v>0</v>
      </c>
      <c r="AQ66" s="28"/>
      <c r="AR66" s="29">
        <f>AR3+AR33+AR52+AR61+AR64</f>
        <v>0</v>
      </c>
      <c r="AS66" s="28"/>
      <c r="AT66" s="29">
        <f>AT3+AT33+AT52+AT61+AT64</f>
        <v>0</v>
      </c>
      <c r="AU66" s="28"/>
      <c r="AV66" s="29">
        <f>AV3+AV33+AV52+AV61+AV64</f>
        <v>0</v>
      </c>
      <c r="AW66" s="29"/>
      <c r="AX66" s="28">
        <f t="shared" si="2"/>
        <v>729.93</v>
      </c>
      <c r="AY66" s="29">
        <f t="shared" si="3"/>
        <v>691.87677725118488</v>
      </c>
    </row>
    <row r="67" spans="1:52" x14ac:dyDescent="0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Y67" s="78"/>
      <c r="AZ67" s="91"/>
    </row>
    <row r="68" spans="1:52" x14ac:dyDescent="0.25">
      <c r="A68" s="139" t="s">
        <v>75</v>
      </c>
      <c r="B68" s="33" t="s">
        <v>76</v>
      </c>
      <c r="C68" s="34"/>
      <c r="D68" s="35">
        <f>139-22.05</f>
        <v>116.95</v>
      </c>
      <c r="E68" s="34"/>
      <c r="F68" s="36">
        <f>83-17.94</f>
        <v>65.06</v>
      </c>
      <c r="G68" s="34"/>
      <c r="H68" s="37">
        <f>195-38.3</f>
        <v>156.69999999999999</v>
      </c>
      <c r="I68" s="34"/>
      <c r="J68" s="37">
        <f>156-39.24</f>
        <v>116.75999999999999</v>
      </c>
      <c r="K68" s="36"/>
      <c r="L68" s="36">
        <f>178-72.58</f>
        <v>105.42</v>
      </c>
      <c r="M68" s="34"/>
      <c r="N68" s="37">
        <f>232-60.75</f>
        <v>171.25</v>
      </c>
      <c r="O68" s="34"/>
      <c r="P68" s="37"/>
      <c r="Q68" s="34"/>
      <c r="R68" s="36"/>
      <c r="S68" s="34"/>
      <c r="T68" s="37"/>
      <c r="U68" s="34"/>
      <c r="V68" s="37"/>
      <c r="W68" s="34"/>
      <c r="X68" s="37"/>
      <c r="Y68" s="34"/>
      <c r="Z68" s="37"/>
      <c r="AA68" s="34"/>
      <c r="AB68" s="37"/>
      <c r="AC68" s="34"/>
      <c r="AD68" s="37"/>
      <c r="AE68" s="34"/>
      <c r="AF68" s="37"/>
      <c r="AG68" s="34"/>
      <c r="AH68" s="37"/>
      <c r="AI68" s="34"/>
      <c r="AJ68" s="37"/>
      <c r="AK68" s="34"/>
      <c r="AL68" s="37"/>
      <c r="AM68" s="34"/>
      <c r="AN68" s="37"/>
      <c r="AO68" s="34"/>
      <c r="AP68" s="37"/>
      <c r="AQ68" s="34"/>
      <c r="AR68" s="37"/>
      <c r="AS68" s="34"/>
      <c r="AT68" s="37"/>
      <c r="AU68" s="34"/>
      <c r="AV68" s="37"/>
      <c r="AW68" s="79"/>
      <c r="AX68" s="92">
        <f>SUM(D68,F68,H68,J68,L68,N68,P68,R68,T68,V68,X68,Z68,AB68,AD68,AF68,AH68,AJ68,AL68,AN68,AP68,AR68,AT68,AV68)</f>
        <v>732.14</v>
      </c>
      <c r="AY68" s="37">
        <f>AX68/1.055</f>
        <v>693.97156398104266</v>
      </c>
    </row>
    <row r="69" spans="1:52" x14ac:dyDescent="0.25">
      <c r="A69" s="139"/>
      <c r="B69" s="38" t="s">
        <v>77</v>
      </c>
      <c r="C69" s="39"/>
      <c r="D69" s="40"/>
      <c r="E69" s="39"/>
      <c r="F69" s="41"/>
      <c r="G69" s="39"/>
      <c r="H69" s="42"/>
      <c r="I69" s="39"/>
      <c r="J69" s="42"/>
      <c r="K69" s="88"/>
      <c r="L69" s="41"/>
      <c r="M69" s="39"/>
      <c r="N69" s="42"/>
      <c r="O69" s="39"/>
      <c r="P69" s="42"/>
      <c r="Q69" s="43"/>
      <c r="R69" s="41"/>
      <c r="S69" s="39"/>
      <c r="T69" s="42"/>
      <c r="U69" s="39"/>
      <c r="V69" s="42"/>
      <c r="W69" s="39"/>
      <c r="X69" s="42"/>
      <c r="Y69" s="39"/>
      <c r="Z69" s="42"/>
      <c r="AA69" s="39"/>
      <c r="AB69" s="42"/>
      <c r="AC69" s="39"/>
      <c r="AD69" s="42"/>
      <c r="AE69" s="39"/>
      <c r="AF69" s="42"/>
      <c r="AG69" s="39"/>
      <c r="AH69" s="42"/>
      <c r="AI69" s="39"/>
      <c r="AJ69" s="42"/>
      <c r="AK69" s="39"/>
      <c r="AL69" s="42"/>
      <c r="AM69" s="39"/>
      <c r="AN69" s="42"/>
      <c r="AO69" s="39"/>
      <c r="AP69" s="42"/>
      <c r="AQ69" s="39"/>
      <c r="AR69" s="42"/>
      <c r="AS69" s="39"/>
      <c r="AT69" s="42"/>
      <c r="AU69" s="39"/>
      <c r="AV69" s="42"/>
      <c r="AW69" s="80">
        <f>SUM(C69,E69,G69,I69,K69,M69,O69,Q69,S69,U69,W69,Y69,AA69,AC69,AE69,AG69,AI69,AK69,AM69,AO69,AQ69,AS69,AU69)</f>
        <v>0</v>
      </c>
      <c r="AX69" s="93">
        <f>SUM(D69,F69,H69,J69,L69,N69,P69,R69,T69,V69,X69,Z69,AB69,AD69,AF69,AH69,AJ69,AL69,AN69,AP69,AR69,AT69,AV69)</f>
        <v>0</v>
      </c>
      <c r="AY69" s="42">
        <f>AX69/1.055</f>
        <v>0</v>
      </c>
    </row>
    <row r="70" spans="1:52" x14ac:dyDescent="0.25">
      <c r="A70" s="139"/>
      <c r="B70" s="38" t="s">
        <v>157</v>
      </c>
      <c r="C70" s="43"/>
      <c r="D70" s="40"/>
      <c r="E70" s="43"/>
      <c r="F70" s="41"/>
      <c r="G70" s="43"/>
      <c r="H70" s="42"/>
      <c r="I70" s="43"/>
      <c r="J70" s="42"/>
      <c r="K70" s="41"/>
      <c r="L70" s="41"/>
      <c r="M70" s="43"/>
      <c r="N70" s="42"/>
      <c r="O70" s="43"/>
      <c r="P70" s="42"/>
      <c r="Q70" s="43"/>
      <c r="R70" s="41"/>
      <c r="S70" s="43"/>
      <c r="T70" s="42"/>
      <c r="U70" s="43"/>
      <c r="V70" s="42"/>
      <c r="W70" s="43"/>
      <c r="X70" s="42"/>
      <c r="Y70" s="43"/>
      <c r="Z70" s="42"/>
      <c r="AA70" s="43"/>
      <c r="AB70" s="42"/>
      <c r="AC70" s="43"/>
      <c r="AD70" s="42"/>
      <c r="AE70" s="43"/>
      <c r="AF70" s="42"/>
      <c r="AG70" s="43"/>
      <c r="AH70" s="42"/>
      <c r="AI70" s="43"/>
      <c r="AJ70" s="42"/>
      <c r="AK70" s="43"/>
      <c r="AL70" s="42"/>
      <c r="AM70" s="43"/>
      <c r="AN70" s="42"/>
      <c r="AO70" s="43"/>
      <c r="AP70" s="42"/>
      <c r="AQ70" s="43"/>
      <c r="AR70" s="42"/>
      <c r="AS70" s="43"/>
      <c r="AT70" s="42"/>
      <c r="AU70" s="43"/>
      <c r="AV70" s="42"/>
      <c r="AW70" s="81"/>
      <c r="AX70" s="94"/>
      <c r="AY70" s="42"/>
    </row>
    <row r="71" spans="1:52" s="51" customFormat="1" x14ac:dyDescent="0.25">
      <c r="A71" s="139"/>
      <c r="B71" s="44" t="s">
        <v>78</v>
      </c>
      <c r="C71" s="45"/>
      <c r="D71" s="46">
        <f>SUM(D68:D70)</f>
        <v>116.95</v>
      </c>
      <c r="E71" s="45"/>
      <c r="F71" s="47">
        <f>SUM(F68:F70)</f>
        <v>65.06</v>
      </c>
      <c r="G71" s="45"/>
      <c r="H71" s="48">
        <f>SUM(H68:H70)</f>
        <v>156.69999999999999</v>
      </c>
      <c r="I71" s="45"/>
      <c r="J71" s="48">
        <f>SUM(J68:J70)</f>
        <v>116.75999999999999</v>
      </c>
      <c r="K71" s="47"/>
      <c r="L71" s="47">
        <f>SUM(L68:L70)</f>
        <v>105.42</v>
      </c>
      <c r="M71" s="45"/>
      <c r="N71" s="48">
        <f>SUM(N68:N70)</f>
        <v>171.25</v>
      </c>
      <c r="O71" s="45"/>
      <c r="P71" s="48">
        <f>SUM(P68:P70)</f>
        <v>0</v>
      </c>
      <c r="Q71" s="45"/>
      <c r="R71" s="47">
        <f>SUM(R68:R70)</f>
        <v>0</v>
      </c>
      <c r="S71" s="45"/>
      <c r="T71" s="48">
        <f>SUM(T68:T70)</f>
        <v>0</v>
      </c>
      <c r="U71" s="45"/>
      <c r="V71" s="48">
        <f>SUM(V68:V70)</f>
        <v>0</v>
      </c>
      <c r="W71" s="45"/>
      <c r="X71" s="48">
        <f>SUM(X68:X70)</f>
        <v>0</v>
      </c>
      <c r="Y71" s="45"/>
      <c r="Z71" s="48">
        <f>SUM(Z68:Z70)</f>
        <v>0</v>
      </c>
      <c r="AA71" s="45"/>
      <c r="AB71" s="48">
        <f>SUM(AB68:AB70)</f>
        <v>0</v>
      </c>
      <c r="AC71" s="45"/>
      <c r="AD71" s="48">
        <f>SUM(AD68:AD70)</f>
        <v>0</v>
      </c>
      <c r="AE71" s="45"/>
      <c r="AF71" s="48">
        <f>SUM(AF68:AF70)</f>
        <v>0</v>
      </c>
      <c r="AG71" s="45"/>
      <c r="AH71" s="48">
        <f>SUM(AH68:AH70)</f>
        <v>0</v>
      </c>
      <c r="AI71" s="45"/>
      <c r="AJ71" s="48">
        <f>SUM(AJ68:AJ70)</f>
        <v>0</v>
      </c>
      <c r="AK71" s="45"/>
      <c r="AL71" s="48">
        <f>SUM(AL68:AL70)</f>
        <v>0</v>
      </c>
      <c r="AM71" s="45"/>
      <c r="AN71" s="48">
        <f>SUM(AN68:AN70)</f>
        <v>0</v>
      </c>
      <c r="AO71" s="45"/>
      <c r="AP71" s="48">
        <f>SUM(AP68:AP70)</f>
        <v>0</v>
      </c>
      <c r="AQ71" s="45"/>
      <c r="AR71" s="48">
        <f>SUM(AR68:AR70)</f>
        <v>0</v>
      </c>
      <c r="AS71" s="45"/>
      <c r="AT71" s="48">
        <f>SUM(AT68:AT70)</f>
        <v>0</v>
      </c>
      <c r="AU71" s="45"/>
      <c r="AV71" s="48">
        <f>SUM(AV68:AV70)</f>
        <v>0</v>
      </c>
      <c r="AW71" s="82"/>
      <c r="AX71" s="95">
        <f>SUM(AX68:AX70)</f>
        <v>732.14</v>
      </c>
      <c r="AY71" s="48">
        <f>SUM(AY68:AY70)</f>
        <v>693.97156398104266</v>
      </c>
    </row>
    <row r="72" spans="1:52" ht="15" customHeight="1" x14ac:dyDescent="0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83"/>
      <c r="N72" s="83"/>
      <c r="O72" s="147"/>
      <c r="P72" s="147"/>
      <c r="Q72" s="83"/>
      <c r="R72" s="83"/>
      <c r="S72" s="83"/>
      <c r="T72" s="83"/>
      <c r="U72" s="83"/>
      <c r="V72" s="83"/>
      <c r="W72" s="32"/>
      <c r="X72" s="32"/>
      <c r="Y72" s="32"/>
      <c r="Z72" s="32"/>
      <c r="AA72" s="32"/>
      <c r="AB72" s="32"/>
      <c r="AC72" s="32"/>
      <c r="AD72" s="32"/>
      <c r="AE72" s="66"/>
      <c r="AF72" s="66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</sheetData>
  <mergeCells count="28">
    <mergeCell ref="A66:B66"/>
    <mergeCell ref="A68:A71"/>
    <mergeCell ref="O72:P72"/>
    <mergeCell ref="AQ1:AR1"/>
    <mergeCell ref="AS1:AT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AX1:AX2"/>
    <mergeCell ref="AY1:AY2"/>
    <mergeCell ref="AG1:AH1"/>
    <mergeCell ref="AI1:AJ1"/>
    <mergeCell ref="AK1:AL1"/>
    <mergeCell ref="AM1:AN1"/>
    <mergeCell ref="AO1:AP1"/>
    <mergeCell ref="E1:F1"/>
    <mergeCell ref="G1:H1"/>
    <mergeCell ref="I1:J1"/>
    <mergeCell ref="K1:L1"/>
    <mergeCell ref="AU1:AV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3</vt:i4>
      </vt:variant>
    </vt:vector>
  </HeadingPairs>
  <TitlesOfParts>
    <vt:vector size="20" baseType="lpstr">
      <vt:lpstr>MAI 2016</vt:lpstr>
      <vt:lpstr>JUIN 2016</vt:lpstr>
      <vt:lpstr>JUILLET 2016</vt:lpstr>
      <vt:lpstr>AOUT 2016</vt:lpstr>
      <vt:lpstr>SEPTEMBRE 2016</vt:lpstr>
      <vt:lpstr>OCTOBRE 2016</vt:lpstr>
      <vt:lpstr>NOVEMBRE 2016</vt:lpstr>
      <vt:lpstr>JANVIER2017</vt:lpstr>
      <vt:lpstr>FEVRIER2017</vt:lpstr>
      <vt:lpstr>MARS2017</vt:lpstr>
      <vt:lpstr>AVRIL2017</vt:lpstr>
      <vt:lpstr>MAI2017</vt:lpstr>
      <vt:lpstr>JUIN2017</vt:lpstr>
      <vt:lpstr>JUILLET2017</vt:lpstr>
      <vt:lpstr>AOUT2017</vt:lpstr>
      <vt:lpstr>Vente fruits</vt:lpstr>
      <vt:lpstr>Liste fruits</vt:lpstr>
      <vt:lpstr>'AOUT 2016'!_FilterDatabase</vt:lpstr>
      <vt:lpstr>'JUIN 2016'!_FilterDatabase</vt:lpstr>
      <vt:lpstr>'AOUT 2016'!Zone_d_impression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Clelia SERRES</dc:creator>
  <cp:lastModifiedBy>Clelia SERRES</cp:lastModifiedBy>
  <cp:revision>0</cp:revision>
  <cp:lastPrinted>2016-09-19T16:09:11Z</cp:lastPrinted>
  <dcterms:created xsi:type="dcterms:W3CDTF">2015-08-21T06:55:39Z</dcterms:created>
  <dcterms:modified xsi:type="dcterms:W3CDTF">2017-08-29T08:39:18Z</dcterms:modified>
  <dc:language>fr-FR</dc:language>
</cp:coreProperties>
</file>