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BMB\Videos\Downloads\"/>
    </mc:Choice>
  </mc:AlternateContent>
  <bookViews>
    <workbookView xWindow="0" yWindow="0" windowWidth="20490" windowHeight="9285" tabRatio="500" activeTab="3"/>
  </bookViews>
  <sheets>
    <sheet name="Listes" sheetId="1" r:id="rId1"/>
    <sheet name="Encodage" sheetId="2" r:id="rId2"/>
    <sheet name="Inventaire" sheetId="3" r:id="rId3"/>
    <sheet name="Facture ou NC" sheetId="4" r:id="rId4"/>
  </sheets>
  <definedNames>
    <definedName name="Produits">Listes!$F$9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8" i="4" l="1" a="1"/>
  <c r="G18" i="4" s="1"/>
  <c r="M18" i="4" s="1" a="1"/>
  <c r="M18" i="4" s="1"/>
  <c r="H18" i="4" a="1"/>
  <c r="H18" i="4" s="1"/>
  <c r="I18" i="4" a="1"/>
  <c r="I18" i="4" s="1"/>
  <c r="J18" i="4" a="1"/>
  <c r="J18" i="4" s="1"/>
  <c r="K18" i="4" a="1"/>
  <c r="K18" i="4" s="1"/>
  <c r="L18" i="4" a="1"/>
  <c r="L18" i="4" s="1"/>
  <c r="G19" i="4" a="1"/>
  <c r="G19" i="4" s="1"/>
  <c r="M19" i="4" s="1" a="1"/>
  <c r="M19" i="4" s="1"/>
  <c r="N19" i="4" s="1"/>
  <c r="H19" i="4" a="1"/>
  <c r="H19" i="4" s="1"/>
  <c r="I19" i="4" a="1"/>
  <c r="I19" i="4" s="1"/>
  <c r="J19" i="4" a="1"/>
  <c r="J19" i="4" s="1"/>
  <c r="K19" i="4" a="1"/>
  <c r="K19" i="4" s="1"/>
  <c r="L19" i="4" a="1"/>
  <c r="L19" i="4" s="1"/>
  <c r="G20" i="4" a="1"/>
  <c r="G20" i="4" s="1"/>
  <c r="M20" i="4" s="1" a="1"/>
  <c r="M20" i="4" s="1"/>
  <c r="N20" i="4" s="1"/>
  <c r="H20" i="4" a="1"/>
  <c r="H20" i="4" s="1"/>
  <c r="I20" i="4" a="1"/>
  <c r="I20" i="4" s="1"/>
  <c r="J20" i="4" a="1"/>
  <c r="J20" i="4" s="1"/>
  <c r="K20" i="4" a="1"/>
  <c r="K20" i="4" s="1"/>
  <c r="L20" i="4" a="1"/>
  <c r="L20" i="4" s="1"/>
  <c r="G21" i="4" a="1"/>
  <c r="G21" i="4" s="1"/>
  <c r="M21" i="4" s="1" a="1"/>
  <c r="M21" i="4" s="1"/>
  <c r="N21" i="4" s="1"/>
  <c r="H21" i="4" a="1"/>
  <c r="H21" i="4" s="1"/>
  <c r="I21" i="4" a="1"/>
  <c r="I21" i="4" s="1"/>
  <c r="J21" i="4" a="1"/>
  <c r="J21" i="4" s="1"/>
  <c r="K21" i="4" a="1"/>
  <c r="K21" i="4" s="1"/>
  <c r="L21" i="4" a="1"/>
  <c r="L21" i="4" s="1"/>
  <c r="G22" i="4" a="1"/>
  <c r="G22" i="4" s="1"/>
  <c r="M22" i="4" s="1" a="1"/>
  <c r="M22" i="4" s="1"/>
  <c r="N22" i="4" s="1"/>
  <c r="H22" i="4" a="1"/>
  <c r="H22" i="4" s="1"/>
  <c r="I22" i="4" a="1"/>
  <c r="I22" i="4" s="1"/>
  <c r="J22" i="4" a="1"/>
  <c r="J22" i="4" s="1"/>
  <c r="K22" i="4" a="1"/>
  <c r="K22" i="4" s="1"/>
  <c r="L22" i="4" a="1"/>
  <c r="L22" i="4" s="1"/>
  <c r="G23" i="4" a="1"/>
  <c r="G23" i="4" s="1"/>
  <c r="M23" i="4" s="1" a="1"/>
  <c r="M23" i="4" s="1"/>
  <c r="N23" i="4" s="1"/>
  <c r="H23" i="4" a="1"/>
  <c r="H23" i="4" s="1"/>
  <c r="I23" i="4" a="1"/>
  <c r="I23" i="4" s="1"/>
  <c r="J23" i="4" a="1"/>
  <c r="J23" i="4" s="1"/>
  <c r="K23" i="4" a="1"/>
  <c r="K23" i="4" s="1"/>
  <c r="L23" i="4" a="1"/>
  <c r="L23" i="4" s="1"/>
  <c r="G24" i="4" a="1"/>
  <c r="G24" i="4" s="1"/>
  <c r="M24" i="4" s="1" a="1"/>
  <c r="M24" i="4" s="1"/>
  <c r="N24" i="4" s="1"/>
  <c r="H24" i="4" a="1"/>
  <c r="H24" i="4" s="1"/>
  <c r="I24" i="4" a="1"/>
  <c r="I24" i="4" s="1"/>
  <c r="J24" i="4" a="1"/>
  <c r="J24" i="4" s="1"/>
  <c r="K24" i="4" a="1"/>
  <c r="K24" i="4" s="1"/>
  <c r="L24" i="4" a="1"/>
  <c r="L24" i="4" s="1"/>
  <c r="G25" i="4" a="1"/>
  <c r="G25" i="4" s="1"/>
  <c r="M25" i="4" s="1" a="1"/>
  <c r="M25" i="4" s="1"/>
  <c r="N25" i="4" s="1"/>
  <c r="H25" i="4" a="1"/>
  <c r="H25" i="4" s="1"/>
  <c r="I25" i="4" a="1"/>
  <c r="I25" i="4" s="1"/>
  <c r="J25" i="4" a="1"/>
  <c r="J25" i="4" s="1"/>
  <c r="K25" i="4" a="1"/>
  <c r="K25" i="4" s="1"/>
  <c r="L25" i="4" a="1"/>
  <c r="L25" i="4" s="1"/>
  <c r="G26" i="4" a="1"/>
  <c r="G26" i="4" s="1"/>
  <c r="M26" i="4" s="1" a="1"/>
  <c r="M26" i="4" s="1"/>
  <c r="N26" i="4" s="1"/>
  <c r="H26" i="4" a="1"/>
  <c r="H26" i="4" s="1"/>
  <c r="I26" i="4" a="1"/>
  <c r="I26" i="4" s="1"/>
  <c r="J26" i="4" a="1"/>
  <c r="J26" i="4" s="1"/>
  <c r="K26" i="4" a="1"/>
  <c r="K26" i="4" s="1"/>
  <c r="L26" i="4" a="1"/>
  <c r="L26" i="4" s="1"/>
  <c r="G27" i="4" a="1"/>
  <c r="G27" i="4" s="1"/>
  <c r="M27" i="4" s="1" a="1"/>
  <c r="M27" i="4" s="1"/>
  <c r="N27" i="4" s="1"/>
  <c r="H27" i="4" a="1"/>
  <c r="H27" i="4" s="1"/>
  <c r="I27" i="4" a="1"/>
  <c r="I27" i="4" s="1"/>
  <c r="J27" i="4" a="1"/>
  <c r="J27" i="4" s="1"/>
  <c r="K27" i="4" a="1"/>
  <c r="K27" i="4" s="1"/>
  <c r="L27" i="4" a="1"/>
  <c r="L27" i="4" s="1"/>
  <c r="G28" i="4" a="1"/>
  <c r="G28" i="4" s="1"/>
  <c r="M28" i="4" s="1" a="1"/>
  <c r="M28" i="4" s="1"/>
  <c r="N28" i="4" s="1"/>
  <c r="H28" i="4" a="1"/>
  <c r="H28" i="4" s="1"/>
  <c r="I28" i="4" a="1"/>
  <c r="I28" i="4" s="1"/>
  <c r="J28" i="4" a="1"/>
  <c r="J28" i="4" s="1"/>
  <c r="K28" i="4" a="1"/>
  <c r="K28" i="4" s="1"/>
  <c r="L28" i="4" a="1"/>
  <c r="L28" i="4" s="1"/>
  <c r="G29" i="4" a="1"/>
  <c r="G29" i="4" s="1"/>
  <c r="M29" i="4" s="1" a="1"/>
  <c r="M29" i="4" s="1"/>
  <c r="N29" i="4" s="1"/>
  <c r="H29" i="4" a="1"/>
  <c r="H29" i="4" s="1"/>
  <c r="I29" i="4" a="1"/>
  <c r="I29" i="4" s="1"/>
  <c r="J29" i="4" a="1"/>
  <c r="J29" i="4" s="1"/>
  <c r="K29" i="4" a="1"/>
  <c r="K29" i="4" s="1"/>
  <c r="L29" i="4" a="1"/>
  <c r="L29" i="4" s="1"/>
  <c r="G30" i="4" a="1"/>
  <c r="G30" i="4" s="1"/>
  <c r="M30" i="4" s="1" a="1"/>
  <c r="M30" i="4" s="1"/>
  <c r="N30" i="4" s="1"/>
  <c r="H30" i="4" a="1"/>
  <c r="H30" i="4" s="1"/>
  <c r="I30" i="4" a="1"/>
  <c r="I30" i="4" s="1"/>
  <c r="J30" i="4" a="1"/>
  <c r="J30" i="4" s="1"/>
  <c r="K30" i="4" a="1"/>
  <c r="K30" i="4" s="1"/>
  <c r="L30" i="4" a="1"/>
  <c r="L30" i="4" s="1"/>
  <c r="G31" i="4" a="1"/>
  <c r="G31" i="4" s="1"/>
  <c r="M31" i="4" s="1" a="1"/>
  <c r="M31" i="4" s="1"/>
  <c r="N31" i="4" s="1"/>
  <c r="H31" i="4" a="1"/>
  <c r="H31" i="4" s="1"/>
  <c r="I31" i="4" a="1"/>
  <c r="I31" i="4" s="1"/>
  <c r="J31" i="4" a="1"/>
  <c r="J31" i="4" s="1"/>
  <c r="K31" i="4" a="1"/>
  <c r="K31" i="4" s="1"/>
  <c r="L31" i="4" a="1"/>
  <c r="L31" i="4" s="1"/>
  <c r="G17" i="4" a="1"/>
  <c r="G17" i="4" s="1"/>
  <c r="M17" i="4" s="1" a="1"/>
  <c r="M17" i="4" s="1"/>
  <c r="L17" i="4" a="1"/>
  <c r="L17" i="4" s="1"/>
  <c r="J17" i="4" a="1"/>
  <c r="J17" i="4" s="1"/>
  <c r="I17" i="4" a="1"/>
  <c r="I17" i="4" s="1"/>
  <c r="K17" i="4" a="1"/>
  <c r="K17" i="4" s="1"/>
  <c r="H17" i="4" a="1"/>
  <c r="H17" i="4" s="1"/>
  <c r="N18" i="4" l="1"/>
  <c r="N17" i="4"/>
  <c r="H3" i="4"/>
  <c r="I12" i="4"/>
  <c r="I11" i="4"/>
  <c r="L9" i="4"/>
  <c r="L8" i="4"/>
  <c r="L7" i="4"/>
  <c r="L6" i="4"/>
  <c r="A3" i="2"/>
  <c r="G11" i="2"/>
  <c r="H11" i="2"/>
  <c r="I11" i="2"/>
  <c r="J11" i="2"/>
  <c r="K11" i="2"/>
  <c r="G10" i="2"/>
  <c r="H10" i="2"/>
  <c r="I10" i="2"/>
  <c r="J10" i="2"/>
  <c r="K10" i="2"/>
  <c r="A9" i="3"/>
  <c r="H4" i="3"/>
  <c r="A10" i="3"/>
  <c r="F10" i="3" s="1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Z6" i="2"/>
  <c r="Y6" i="2"/>
  <c r="I9" i="1"/>
  <c r="E9" i="3" s="1"/>
  <c r="A3" i="3"/>
  <c r="Z5" i="2"/>
  <c r="Z9" i="2"/>
  <c r="Y5" i="2"/>
  <c r="I3" i="1" s="1"/>
  <c r="Y9" i="2"/>
  <c r="I4" i="1"/>
  <c r="E4" i="3" s="1"/>
  <c r="F3" i="3"/>
  <c r="A4" i="3"/>
  <c r="H9" i="3" s="1"/>
  <c r="Z7" i="2"/>
  <c r="Y7" i="2"/>
  <c r="I10" i="1"/>
  <c r="E10" i="3" s="1"/>
  <c r="G4" i="3"/>
  <c r="I8" i="1"/>
  <c r="E8" i="3" s="1"/>
  <c r="A8" i="3"/>
  <c r="F8" i="3"/>
  <c r="I8" i="3" s="1"/>
  <c r="G8" i="3"/>
  <c r="H8" i="3"/>
  <c r="Z4" i="2"/>
  <c r="Z8" i="2"/>
  <c r="Y4" i="2"/>
  <c r="Y8" i="2"/>
  <c r="I5" i="1" s="1"/>
  <c r="A7" i="3"/>
  <c r="Z3" i="2"/>
  <c r="Y3" i="2"/>
  <c r="I7" i="1" s="1"/>
  <c r="E7" i="3" s="1"/>
  <c r="J7" i="3" s="1"/>
  <c r="F7" i="3"/>
  <c r="A5" i="3"/>
  <c r="F5" i="3" s="1"/>
  <c r="G7" i="3"/>
  <c r="I7" i="3" s="1"/>
  <c r="H7" i="3"/>
  <c r="I6" i="1"/>
  <c r="E6" i="3" s="1"/>
  <c r="J6" i="3" s="1"/>
  <c r="A6" i="3"/>
  <c r="F6" i="3"/>
  <c r="I6" i="3" s="1"/>
  <c r="G6" i="3"/>
  <c r="H6" i="3"/>
  <c r="H5" i="3"/>
  <c r="F9" i="3"/>
  <c r="H10" i="3"/>
  <c r="G9" i="2"/>
  <c r="G8" i="2"/>
  <c r="G7" i="2"/>
  <c r="G6" i="2"/>
  <c r="G5" i="2"/>
  <c r="G4" i="2"/>
  <c r="J3" i="2"/>
  <c r="K3" i="2"/>
  <c r="J4" i="2"/>
  <c r="K4" i="2"/>
  <c r="J5" i="2"/>
  <c r="K5" i="2"/>
  <c r="J6" i="2"/>
  <c r="K6" i="2"/>
  <c r="J7" i="2"/>
  <c r="K7" i="2"/>
  <c r="J8" i="2"/>
  <c r="K8" i="2"/>
  <c r="J9" i="2"/>
  <c r="K9" i="2"/>
  <c r="G3" i="2"/>
  <c r="H3" i="2"/>
  <c r="I3" i="2"/>
  <c r="H4" i="2"/>
  <c r="I4" i="2"/>
  <c r="H5" i="2"/>
  <c r="I5" i="2"/>
  <c r="H6" i="2"/>
  <c r="I6" i="2"/>
  <c r="H7" i="2"/>
  <c r="I7" i="2"/>
  <c r="H8" i="2"/>
  <c r="I8" i="2"/>
  <c r="H9" i="2"/>
  <c r="I9" i="2"/>
  <c r="B9" i="3"/>
  <c r="C9" i="3"/>
  <c r="D9" i="3"/>
  <c r="B5" i="3"/>
  <c r="C5" i="3"/>
  <c r="D5" i="3"/>
  <c r="B6" i="3"/>
  <c r="C6" i="3"/>
  <c r="D6" i="3"/>
  <c r="B7" i="3"/>
  <c r="C7" i="3"/>
  <c r="D7" i="3"/>
  <c r="B8" i="3"/>
  <c r="C8" i="3"/>
  <c r="D8" i="3"/>
  <c r="B4" i="3"/>
  <c r="C4" i="3"/>
  <c r="D4" i="3"/>
  <c r="B3" i="3"/>
  <c r="C3" i="3"/>
  <c r="D3" i="3"/>
  <c r="B10" i="3"/>
  <c r="C10" i="3"/>
  <c r="D10" i="3"/>
  <c r="J8" i="3" l="1"/>
  <c r="I9" i="3"/>
  <c r="J9" i="3" s="1"/>
  <c r="E3" i="3"/>
  <c r="G9" i="3"/>
  <c r="E5" i="3"/>
  <c r="F4" i="3"/>
  <c r="I4" i="3" s="1"/>
  <c r="J4" i="3" s="1"/>
  <c r="H3" i="3"/>
  <c r="G3" i="3"/>
  <c r="I3" i="3" s="1"/>
  <c r="G10" i="3"/>
  <c r="I10" i="3" s="1"/>
  <c r="J10" i="3" s="1"/>
  <c r="G5" i="3"/>
  <c r="I5" i="3" s="1"/>
  <c r="J5" i="3" l="1"/>
  <c r="J3" i="3"/>
</calcChain>
</file>

<file path=xl/sharedStrings.xml><?xml version="1.0" encoding="utf-8"?>
<sst xmlns="http://schemas.openxmlformats.org/spreadsheetml/2006/main" count="148" uniqueCount="109">
  <si>
    <t>Produits</t>
  </si>
  <si>
    <t>Référence</t>
  </si>
  <si>
    <t>Catégorie</t>
  </si>
  <si>
    <t>Nom</t>
  </si>
  <si>
    <t>Colori</t>
  </si>
  <si>
    <t>PVG</t>
  </si>
  <si>
    <t>PVP</t>
  </si>
  <si>
    <t>Catégories produits</t>
  </si>
  <si>
    <t>BT/2454</t>
  </si>
  <si>
    <t>Date</t>
  </si>
  <si>
    <t>Type mvt</t>
  </si>
  <si>
    <t>PA</t>
  </si>
  <si>
    <t>Quantité</t>
  </si>
  <si>
    <t>IN</t>
  </si>
  <si>
    <t>TI/2456</t>
  </si>
  <si>
    <t>PS/2458</t>
  </si>
  <si>
    <t>LP/80489</t>
  </si>
  <si>
    <t>CF/81190</t>
  </si>
  <si>
    <t>TC/81390</t>
  </si>
  <si>
    <t>BT/1199</t>
  </si>
  <si>
    <t>TI/1175</t>
  </si>
  <si>
    <t>ti/2456</t>
  </si>
  <si>
    <t>bt/2454</t>
  </si>
  <si>
    <t>Pc Justif</t>
  </si>
  <si>
    <t>in</t>
  </si>
  <si>
    <t>PA Moyen</t>
  </si>
  <si>
    <t>Calcul PA Moyen</t>
  </si>
  <si>
    <t>Type</t>
  </si>
  <si>
    <t>Stock initial</t>
  </si>
  <si>
    <t>Alerte stock</t>
  </si>
  <si>
    <t>Stock</t>
  </si>
  <si>
    <t>Stock Alerte</t>
  </si>
  <si>
    <t>out</t>
  </si>
  <si>
    <t>INVENTAIRE</t>
  </si>
  <si>
    <t>Coloris</t>
  </si>
  <si>
    <t>Sorties</t>
  </si>
  <si>
    <t>Stock Final</t>
  </si>
  <si>
    <t>Entrées</t>
  </si>
  <si>
    <t>Valeur stock</t>
  </si>
  <si>
    <t>CLIENTS</t>
  </si>
  <si>
    <t>N° client</t>
  </si>
  <si>
    <t>Adresse 1</t>
  </si>
  <si>
    <t>Adresse 2</t>
  </si>
  <si>
    <t>Code postal</t>
  </si>
  <si>
    <t>Localité</t>
  </si>
  <si>
    <t>TVA</t>
  </si>
  <si>
    <t>Adresse de facturation</t>
  </si>
  <si>
    <t>Adresse de livraison</t>
  </si>
  <si>
    <t>MC17101</t>
  </si>
  <si>
    <t>MC17102</t>
  </si>
  <si>
    <t>LI_Localité</t>
  </si>
  <si>
    <t>LI_Codepostal</t>
  </si>
  <si>
    <t>LI_Adresse2</t>
  </si>
  <si>
    <t>LI_Adresse1</t>
  </si>
  <si>
    <t>N° Facture</t>
  </si>
  <si>
    <t>ENCODAGE DES MOUVEMENTS DE STOCK (Entées et sorties)</t>
  </si>
  <si>
    <t>JP OLIVE</t>
  </si>
  <si>
    <t>"Olive &amp; Co"</t>
  </si>
  <si>
    <t>Allée de l'Italie, 23</t>
  </si>
  <si>
    <t>Bruxelles</t>
  </si>
  <si>
    <t>BE0000.000.000</t>
  </si>
  <si>
    <t>FINEST ITALY</t>
  </si>
  <si>
    <t>Boulevard Marco Polo</t>
  </si>
  <si>
    <t>Liège</t>
  </si>
  <si>
    <t>BE1111.111.111</t>
  </si>
  <si>
    <t>Finest Italy</t>
  </si>
  <si>
    <t>Cc. MediaCité - 562/2</t>
  </si>
  <si>
    <t>Pâtes</t>
  </si>
  <si>
    <t>Huile d'olive</t>
  </si>
  <si>
    <t>Fromage</t>
  </si>
  <si>
    <t>Conserve</t>
  </si>
  <si>
    <t>Vin</t>
  </si>
  <si>
    <t>Divers</t>
  </si>
  <si>
    <t>Home Made</t>
  </si>
  <si>
    <t>Penne</t>
  </si>
  <si>
    <t>Tortelli</t>
  </si>
  <si>
    <t>Giorgio Oil</t>
  </si>
  <si>
    <t>Extra virgin olive oil</t>
  </si>
  <si>
    <t>La Casa di Mama</t>
  </si>
  <si>
    <t>Pecorino</t>
  </si>
  <si>
    <t>La Casa di Mamma</t>
  </si>
  <si>
    <t>Tomates pelées basilic</t>
  </si>
  <si>
    <t>Décoration</t>
  </si>
  <si>
    <t>Bougies</t>
  </si>
  <si>
    <t>Antonino</t>
  </si>
  <si>
    <t>Antonino 2010</t>
  </si>
  <si>
    <t>Antonino 2013</t>
  </si>
  <si>
    <t>EDITION NOUVELLE FACTURE</t>
  </si>
  <si>
    <t>N° Client</t>
  </si>
  <si>
    <t>Date de facturation</t>
  </si>
  <si>
    <t>Laisser vide si aujourd'hui</t>
  </si>
  <si>
    <t>Date de facture</t>
  </si>
  <si>
    <t>N° de client</t>
  </si>
  <si>
    <t>N° de facture</t>
  </si>
  <si>
    <t>PVG U.</t>
  </si>
  <si>
    <t>Total</t>
  </si>
  <si>
    <t>Type de document</t>
  </si>
  <si>
    <t>1 = Facture  //  2 = Note de crédit</t>
  </si>
  <si>
    <t>Code</t>
  </si>
  <si>
    <t>Notes:</t>
  </si>
  <si>
    <t>formule matricielle en G H I J K L</t>
  </si>
  <si>
    <t>pour ces formules:bien débuter les champs en ligne 1 pour éviter les recalages de lignes</t>
  </si>
  <si>
    <t>elle peut être masquée, ou décalée, mais les valeurs restent de préférence sur la mêe ligne de facture</t>
  </si>
  <si>
    <t>la colonne G renvoie le code produit pour ressortir le PU en M</t>
  </si>
  <si>
    <t>en maintenant les touches ctrl et shift enfoncées</t>
  </si>
  <si>
    <t>(elles s'affichent automatiquement enre accolades dans la barre de formule)</t>
  </si>
  <si>
    <t>limiter à la hauteur utile( ici ligne 1 à 1000) pour ne pas alourdir le fichier</t>
  </si>
  <si>
    <t>ces formules doivent être entrées aves la touche enter</t>
  </si>
  <si>
    <t>la formule en M est entrée normalement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</si>
</sst>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&quot;€&quot;;[Red]#,##0.00\ &quot;€&quot;"/>
    <numFmt numFmtId="165" formatCode="#,##0.00\ &quot;€&quot;"/>
    <numFmt numFmtId="166" formatCode="dd/mm/yyyy;@"/>
  </numFmts>
  <fonts count="8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8"/>
      <name val="Calibri"/>
      <family val="2"/>
      <charset val="136"/>
      <scheme val="minor"/>
    </font>
    <font>
      <sz val="12"/>
      <color indexed="206"/>
      <name val="Calibri"/>
      <family val="2"/>
      <charset val="136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charset val="136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5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164" fontId="0" fillId="0" borderId="0" xfId="0" applyNumberFormat="1"/>
    <xf numFmtId="4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/>
    <xf numFmtId="166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0" xfId="0" quotePrefix="1" applyFill="1"/>
    <xf numFmtId="0" fontId="0" fillId="2" borderId="0" xfId="0" applyFill="1"/>
    <xf numFmtId="0" fontId="5" fillId="3" borderId="0" xfId="0" applyFont="1" applyFill="1"/>
    <xf numFmtId="0" fontId="5" fillId="4" borderId="0" xfId="0" applyFont="1" applyFill="1"/>
    <xf numFmtId="0" fontId="0" fillId="4" borderId="0" xfId="0" quotePrefix="1" applyFill="1"/>
    <xf numFmtId="0" fontId="0" fillId="0" borderId="0" xfId="0" applyFill="1"/>
    <xf numFmtId="0" fontId="6" fillId="0" borderId="0" xfId="0" applyFont="1"/>
    <xf numFmtId="0" fontId="7" fillId="5" borderId="0" xfId="0" applyFont="1" applyFill="1"/>
  </cellXfs>
  <cellStyles count="59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" xfId="33" builtinId="8" hidden="1"/>
    <cellStyle name="Lien hypertexte" xfId="35" builtinId="8" hidden="1"/>
    <cellStyle name="Lien hypertexte" xfId="37" builtinId="8" hidden="1"/>
    <cellStyle name="Lien hypertexte" xfId="39" builtinId="8" hidden="1"/>
    <cellStyle name="Lien hypertexte" xfId="41" builtinId="8" hidden="1"/>
    <cellStyle name="Lien hypertexte" xfId="43" builtinId="8" hidden="1"/>
    <cellStyle name="Lien hypertexte" xfId="45" builtinId="8" hidden="1"/>
    <cellStyle name="Lien hypertexte" xfId="47" builtinId="8" hidden="1"/>
    <cellStyle name="Lien hypertexte" xfId="49" builtinId="8" hidden="1"/>
    <cellStyle name="Lien hypertexte" xfId="51" builtinId="8" hidden="1"/>
    <cellStyle name="Lien hypertexte" xfId="53" builtinId="8" hidden="1"/>
    <cellStyle name="Lien hypertexte" xfId="55" builtinId="8" hidden="1"/>
    <cellStyle name="Lien hypertexte" xfId="5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Lien hypertexte visité" xfId="34" builtinId="9" hidden="1"/>
    <cellStyle name="Lien hypertexte visité" xfId="36" builtinId="9" hidden="1"/>
    <cellStyle name="Lien hypertexte visité" xfId="38" builtinId="9" hidden="1"/>
    <cellStyle name="Lien hypertexte visité" xfId="40" builtinId="9" hidden="1"/>
    <cellStyle name="Lien hypertexte visité" xfId="42" builtinId="9" hidden="1"/>
    <cellStyle name="Lien hypertexte visité" xfId="44" builtinId="9" hidden="1"/>
    <cellStyle name="Lien hypertexte visité" xfId="46" builtinId="9" hidden="1"/>
    <cellStyle name="Lien hypertexte visité" xfId="48" builtinId="9" hidden="1"/>
    <cellStyle name="Lien hypertexte visité" xfId="50" builtinId="9" hidden="1"/>
    <cellStyle name="Lien hypertexte visité" xfId="52" builtinId="9" hidden="1"/>
    <cellStyle name="Lien hypertexte visité" xfId="54" builtinId="9" hidden="1"/>
    <cellStyle name="Lien hypertexte visité" xfId="56" builtinId="9" hidden="1"/>
    <cellStyle name="Lien hypertexte visité" xfId="58" builtinId="9" hidden="1"/>
    <cellStyle name="Normal" xfId="0" builtinId="0"/>
  </cellStyles>
  <dxfs count="18">
    <dxf>
      <font>
        <color rgb="FFFF0000"/>
      </font>
    </dxf>
    <dxf>
      <numFmt numFmtId="34" formatCode="_-* #,##0.00\ &quot;€&quot;_-;\-* #,##0.00\ &quot;€&quot;_-;_-* &quot;-&quot;??\ &quot;€&quot;_-;_-@_-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numFmt numFmtId="34" formatCode="_-* #,##0.00\ &quot;€&quot;_-;\-* #,##0.00\ &quot;€&quot;_-;_-* &quot;-&quot;??\ &quot;€&quot;_-;_-@_-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numFmt numFmtId="2" formatCode="0.00"/>
    </dxf>
    <dxf>
      <numFmt numFmtId="165" formatCode="#,##0.00\ &quot;€&quot;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left" vertical="bottom" textRotation="0" wrapText="0" indent="0" justifyLastLine="0" shrinkToFit="0"/>
    </dxf>
    <dxf>
      <numFmt numFmtId="164" formatCode="#,##0.00\ &quot;€&quot;;[Red]#,##0.00\ &quot;€&quot;"/>
    </dxf>
    <dxf>
      <numFmt numFmtId="164" formatCode="#,##0.00\ &quot;€&quot;;[Red]#,##0.00\ &quot;€&quot;"/>
    </dxf>
    <dxf>
      <numFmt numFmtId="164" formatCode="#,##0.00\ &quot;€&quot;;[Red]#,##0.00\ &quot;€&quot;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4" name="TCatégories" displayName="TCatégories" ref="K2:K8" totalsRowShown="0">
  <autoFilter ref="K2:K8"/>
  <tableColumns count="1">
    <tableColumn id="1" name="Catégories produits"/>
  </tableColumns>
  <tableStyleInfo name="TableStyleMedium13" showFirstColumn="0" showLastColumn="0" showRowStripes="1" showColumnStripes="0"/>
</table>
</file>

<file path=xl/tables/table2.xml><?xml version="1.0" encoding="utf-8"?>
<table xmlns="http://schemas.openxmlformats.org/spreadsheetml/2006/main" id="2" name="TProduits" displayName="TProduits" ref="A2:I10" totalsRowShown="0">
  <autoFilter ref="A2:I10"/>
  <sortState ref="A3:I10">
    <sortCondition ref="A2:A10"/>
  </sortState>
  <tableColumns count="9">
    <tableColumn id="1" name="Référence"/>
    <tableColumn id="2" name="Catégorie"/>
    <tableColumn id="3" name="Nom"/>
    <tableColumn id="4" name="Colori"/>
    <tableColumn id="5" name="Stock initial"/>
    <tableColumn id="6" name="Alerte stock"/>
    <tableColumn id="7" name="PVG" dataDxfId="17"/>
    <tableColumn id="8" name="PVP" dataDxfId="16"/>
    <tableColumn id="9" name="PA Moyen" dataDxfId="15"/>
  </tableColumns>
  <tableStyleInfo name="TableStyleMedium14" showFirstColumn="0" showLastColumn="0" showRowStripes="1" showColumnStripes="0"/>
</table>
</file>

<file path=xl/tables/table3.xml><?xml version="1.0" encoding="utf-8"?>
<table xmlns="http://schemas.openxmlformats.org/spreadsheetml/2006/main" id="7" name="Tclients" displayName="Tclients" ref="M3:W5" totalsRowShown="0">
  <autoFilter ref="M3:W5"/>
  <tableColumns count="11">
    <tableColumn id="1" name="N° client"/>
    <tableColumn id="2" name="Nom"/>
    <tableColumn id="3" name="Adresse 1"/>
    <tableColumn id="4" name="Adresse 2"/>
    <tableColumn id="5" name="Code postal"/>
    <tableColumn id="6" name="Localité"/>
    <tableColumn id="7" name="TVA"/>
    <tableColumn id="9" name="LI_Adresse1"/>
    <tableColumn id="10" name="LI_Adresse2"/>
    <tableColumn id="11" name="LI_Codepostal"/>
    <tableColumn id="12" name="LI_Localité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id="5" name="Tencodage" displayName="Tencodage" ref="A2:K11" totalsRowShown="0">
  <autoFilter ref="A2:K11"/>
  <tableColumns count="11">
    <tableColumn id="1" name="Date" dataDxfId="14"/>
    <tableColumn id="2" name="Référence"/>
    <tableColumn id="3" name="Pc Justif" dataDxfId="13"/>
    <tableColumn id="4" name="Type mvt" dataDxfId="12"/>
    <tableColumn id="5" name="Quantité" dataDxfId="11"/>
    <tableColumn id="6" name="PA" dataDxfId="10"/>
    <tableColumn id="8" name="Type" dataDxfId="9">
      <calculatedColumnFormula>VLOOKUP(B3,Listes!$A$3:$H$20,2,)</calculatedColumnFormula>
    </tableColumn>
    <tableColumn id="9" name="Nom">
      <calculatedColumnFormula>VLOOKUP(B3,Listes!$A$3:$H$20,3,)</calculatedColumnFormula>
    </tableColumn>
    <tableColumn id="10" name="Colori">
      <calculatedColumnFormula>VLOOKUP(B3,Listes!$A$3:$H$20,4,)</calculatedColumnFormula>
    </tableColumn>
    <tableColumn id="11" name="Stock" dataDxfId="8">
      <calculatedColumnFormula>IFERROR(VLOOKUP(B3,TProduits[],5,0)+SUMIFS($E$3:E3,$B$3:B3,B3,$D$3:D3,"IN")-SUMIFS($E$3:E3,$B$3:B3,B3,$D$3:D3,"OUT"),"")</calculatedColumnFormula>
    </tableColumn>
    <tableColumn id="12" name="Stock Alerte" dataDxfId="7">
      <calculatedColumnFormula>VLOOKUP(B3,TProduits[],6,FALSE)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2:J10" totalsRowShown="0">
  <autoFilter ref="A2:J10"/>
  <sortState ref="A3:J10">
    <sortCondition ref="A2:A10"/>
  </sortState>
  <tableColumns count="10">
    <tableColumn id="1" name="Référence">
      <calculatedColumnFormula>TProduits[[#This Row],[Référence]]</calculatedColumnFormula>
    </tableColumn>
    <tableColumn id="2" name="Catégorie">
      <calculatedColumnFormula>TProduits[[#This Row],[Catégorie]]</calculatedColumnFormula>
    </tableColumn>
    <tableColumn id="3" name="Nom">
      <calculatedColumnFormula>TProduits[[#This Row],[Nom]]</calculatedColumnFormula>
    </tableColumn>
    <tableColumn id="4" name="Coloris">
      <calculatedColumnFormula>TProduits[[#This Row],[Colori]]</calculatedColumnFormula>
    </tableColumn>
    <tableColumn id="5" name="PA" dataDxfId="6">
      <calculatedColumnFormula>VLOOKUP(A3,TProduits[],9,0)</calculatedColumnFormula>
    </tableColumn>
    <tableColumn id="6" name="Stock initial" dataDxfId="5">
      <calculatedColumnFormula>VLOOKUP(A3,TProduits[],5,0)</calculatedColumnFormula>
    </tableColumn>
    <tableColumn id="7" name="Entrées" dataDxfId="4">
      <calculatedColumnFormula>SUMIFS(Tencodage[Quantité],Tencodage[Référence],Inventaire!A3,Tencodage[Type mvt],"IN")</calculatedColumnFormula>
    </tableColumn>
    <tableColumn id="8" name="Sorties" dataDxfId="3">
      <calculatedColumnFormula>SUMIFS(Tencodage[Quantité],Tencodage[Référence],Inventaire!A3,Tencodage[Type mvt],"out")</calculatedColumnFormula>
    </tableColumn>
    <tableColumn id="9" name="Stock Final" dataDxfId="2">
      <calculatedColumnFormula>F3+G3-H3</calculatedColumnFormula>
    </tableColumn>
    <tableColumn id="10" name="Valeur stock" dataDxfId="1">
      <calculatedColumnFormula>IFERROR(E3*I3,"")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X16"/>
  <sheetViews>
    <sheetView zoomScale="125" zoomScaleNormal="125" zoomScalePageLayoutView="125" workbookViewId="0">
      <selection activeCell="A5" sqref="A5"/>
    </sheetView>
  </sheetViews>
  <sheetFormatPr baseColWidth="10" defaultRowHeight="21" customHeight="1"/>
  <cols>
    <col min="1" max="1" width="11.375" customWidth="1"/>
    <col min="2" max="2" width="16" bestFit="1" customWidth="1"/>
    <col min="3" max="3" width="16.75" bestFit="1" customWidth="1"/>
    <col min="4" max="4" width="20.375" bestFit="1" customWidth="1"/>
    <col min="5" max="5" width="12.375" customWidth="1"/>
    <col min="6" max="6" width="12.625" customWidth="1"/>
    <col min="9" max="9" width="11.375" customWidth="1"/>
    <col min="11" max="11" width="27.375" customWidth="1"/>
    <col min="12" max="12" width="7.625" customWidth="1"/>
    <col min="14" max="14" width="23.875" bestFit="1" customWidth="1"/>
    <col min="15" max="15" width="17.375" bestFit="1" customWidth="1"/>
    <col min="16" max="16" width="17" bestFit="1" customWidth="1"/>
    <col min="17" max="17" width="12.5" customWidth="1"/>
    <col min="19" max="19" width="18.125" customWidth="1"/>
    <col min="20" max="20" width="15.875" bestFit="1" customWidth="1"/>
    <col min="21" max="21" width="41" bestFit="1" customWidth="1"/>
    <col min="22" max="22" width="13.625" customWidth="1"/>
    <col min="23" max="23" width="12.625" bestFit="1" customWidth="1"/>
  </cols>
  <sheetData>
    <row r="1" spans="1:24" ht="21" customHeight="1">
      <c r="A1" t="s">
        <v>0</v>
      </c>
      <c r="M1" t="s">
        <v>39</v>
      </c>
    </row>
    <row r="2" spans="1:24" ht="21" customHeight="1">
      <c r="A2" t="s">
        <v>1</v>
      </c>
      <c r="B2" t="s">
        <v>2</v>
      </c>
      <c r="C2" t="s">
        <v>3</v>
      </c>
      <c r="D2" t="s">
        <v>4</v>
      </c>
      <c r="E2" t="s">
        <v>28</v>
      </c>
      <c r="F2" t="s">
        <v>29</v>
      </c>
      <c r="G2" t="s">
        <v>5</v>
      </c>
      <c r="H2" t="s">
        <v>6</v>
      </c>
      <c r="I2" t="s">
        <v>25</v>
      </c>
      <c r="K2" t="s">
        <v>7</v>
      </c>
      <c r="O2" s="11" t="s">
        <v>46</v>
      </c>
      <c r="P2" s="11"/>
      <c r="Q2" s="11"/>
      <c r="R2" s="11"/>
      <c r="S2" s="11"/>
      <c r="T2" s="11" t="s">
        <v>47</v>
      </c>
      <c r="U2" s="11"/>
      <c r="V2" s="11"/>
      <c r="W2" s="11"/>
      <c r="X2" s="7"/>
    </row>
    <row r="3" spans="1:24" ht="21" customHeight="1">
      <c r="A3" t="s">
        <v>19</v>
      </c>
      <c r="B3" t="s">
        <v>67</v>
      </c>
      <c r="C3" t="s">
        <v>73</v>
      </c>
      <c r="D3" t="s">
        <v>74</v>
      </c>
      <c r="E3">
        <v>120</v>
      </c>
      <c r="F3">
        <v>25</v>
      </c>
      <c r="G3" s="2">
        <v>17.75</v>
      </c>
      <c r="H3" s="2">
        <v>39.9</v>
      </c>
      <c r="I3" s="2">
        <f ca="1">IFERROR((SUMIF(Encodage!$B$3:$Z$10001,Listes!A9,Encodage!$Z$3:$Z$10001))/(SUMIF(Encodage!$B$3:$Z$10001,Listes!A9,Encodage!$Y$3:$Y$10001)),"")</f>
        <v>3.7291666666666665</v>
      </c>
      <c r="K3" t="s">
        <v>67</v>
      </c>
      <c r="M3" t="s">
        <v>40</v>
      </c>
      <c r="N3" t="s">
        <v>3</v>
      </c>
      <c r="O3" t="s">
        <v>41</v>
      </c>
      <c r="P3" t="s">
        <v>42</v>
      </c>
      <c r="Q3" t="s">
        <v>43</v>
      </c>
      <c r="R3" t="s">
        <v>44</v>
      </c>
      <c r="S3" t="s">
        <v>45</v>
      </c>
      <c r="T3" t="s">
        <v>53</v>
      </c>
      <c r="U3" t="s">
        <v>52</v>
      </c>
      <c r="V3" t="s">
        <v>51</v>
      </c>
      <c r="W3" t="s">
        <v>50</v>
      </c>
    </row>
    <row r="4" spans="1:24" ht="21" customHeight="1">
      <c r="A4" t="s">
        <v>8</v>
      </c>
      <c r="B4" t="s">
        <v>67</v>
      </c>
      <c r="C4" t="s">
        <v>73</v>
      </c>
      <c r="D4" t="s">
        <v>75</v>
      </c>
      <c r="E4">
        <v>130</v>
      </c>
      <c r="F4">
        <v>25</v>
      </c>
      <c r="G4" s="2">
        <v>17.75</v>
      </c>
      <c r="H4" s="2">
        <v>39.9</v>
      </c>
      <c r="I4" s="2" t="str">
        <f ca="1">IFERROR((SUMIF(Encodage!$B$3:$Z$10001,Listes!A3,Encodage!$Z$3:$Z$10001))/(SUMIF(Encodage!$B$3:$Z$10001,Listes!A3,Encodage!$Y$3:$Y$10001)),"")</f>
        <v/>
      </c>
      <c r="K4" t="s">
        <v>68</v>
      </c>
      <c r="M4" t="s">
        <v>48</v>
      </c>
      <c r="N4" t="s">
        <v>56</v>
      </c>
      <c r="O4" t="s">
        <v>57</v>
      </c>
      <c r="P4" t="s">
        <v>58</v>
      </c>
      <c r="Q4">
        <v>1000</v>
      </c>
      <c r="R4" t="s">
        <v>59</v>
      </c>
      <c r="S4" t="s">
        <v>60</v>
      </c>
    </row>
    <row r="5" spans="1:24" ht="21" customHeight="1">
      <c r="A5" t="s">
        <v>17</v>
      </c>
      <c r="B5" t="s">
        <v>68</v>
      </c>
      <c r="C5" t="s">
        <v>76</v>
      </c>
      <c r="D5" t="s">
        <v>77</v>
      </c>
      <c r="E5">
        <v>75</v>
      </c>
      <c r="F5">
        <v>10</v>
      </c>
      <c r="G5" s="2">
        <v>17.75</v>
      </c>
      <c r="H5" s="2">
        <v>39.9</v>
      </c>
      <c r="I5" s="2">
        <f ca="1">IFERROR((SUMIF(Encodage!$B$3:$Z$10001,Listes!A7,Encodage!$Z$3:$Z$10001))/(SUMIF(Encodage!$B$3:$Z$10001,Listes!A7,Encodage!$Y$3:$Y$10001)),"")</f>
        <v>1.6</v>
      </c>
      <c r="K5" t="s">
        <v>69</v>
      </c>
      <c r="M5" t="s">
        <v>49</v>
      </c>
      <c r="N5" t="s">
        <v>61</v>
      </c>
      <c r="P5" t="s">
        <v>62</v>
      </c>
      <c r="Q5">
        <v>4000</v>
      </c>
      <c r="R5" t="s">
        <v>63</v>
      </c>
      <c r="S5" t="s">
        <v>64</v>
      </c>
      <c r="T5" t="s">
        <v>65</v>
      </c>
      <c r="U5" t="s">
        <v>66</v>
      </c>
      <c r="V5">
        <v>4000</v>
      </c>
      <c r="W5" t="s">
        <v>63</v>
      </c>
    </row>
    <row r="6" spans="1:24" ht="21" customHeight="1">
      <c r="A6" t="s">
        <v>16</v>
      </c>
      <c r="B6" t="s">
        <v>69</v>
      </c>
      <c r="C6" t="s">
        <v>78</v>
      </c>
      <c r="D6" t="s">
        <v>79</v>
      </c>
      <c r="E6">
        <v>25</v>
      </c>
      <c r="F6">
        <v>7</v>
      </c>
      <c r="G6" s="2">
        <v>11.05</v>
      </c>
      <c r="H6" s="2">
        <v>24.9</v>
      </c>
      <c r="I6" s="2" t="str">
        <f ca="1">IFERROR((SUMIF(Encodage!$B$3:$Z$10001,Listes!A6,Encodage!$Z$3:$Z$10001))/(SUMIF(Encodage!$B$3:$Z$10001,Listes!A6,Encodage!$Y$3:$Y$10001)),"")</f>
        <v/>
      </c>
      <c r="K6" t="s">
        <v>70</v>
      </c>
    </row>
    <row r="7" spans="1:24" ht="21" customHeight="1">
      <c r="A7" t="s">
        <v>15</v>
      </c>
      <c r="B7" t="s">
        <v>70</v>
      </c>
      <c r="C7" t="s">
        <v>80</v>
      </c>
      <c r="D7" t="s">
        <v>81</v>
      </c>
      <c r="E7">
        <v>60</v>
      </c>
      <c r="F7">
        <v>12</v>
      </c>
      <c r="G7" s="2">
        <v>11.05</v>
      </c>
      <c r="H7" s="2">
        <v>24.9</v>
      </c>
      <c r="I7" s="2">
        <f ca="1">IFERROR((SUMIF(Encodage!$B$3:$Z$10001,Listes!A5,Encodage!$Z$3:$Z$10001))/(SUMIF(Encodage!$B$3:$Z$10001,Listes!A5,Encodage!$Y$3:$Y$10001)),"")</f>
        <v>2.6</v>
      </c>
      <c r="K7" t="s">
        <v>71</v>
      </c>
    </row>
    <row r="8" spans="1:24" ht="21" customHeight="1">
      <c r="A8" t="s">
        <v>18</v>
      </c>
      <c r="B8" t="s">
        <v>72</v>
      </c>
      <c r="C8" t="s">
        <v>82</v>
      </c>
      <c r="D8" t="s">
        <v>83</v>
      </c>
      <c r="E8">
        <v>6</v>
      </c>
      <c r="F8">
        <v>2</v>
      </c>
      <c r="G8" s="2">
        <v>15.5</v>
      </c>
      <c r="H8" s="2">
        <v>34.9</v>
      </c>
      <c r="I8" s="2" t="str">
        <f ca="1">IFERROR((SUMIF(Encodage!$B$3:$Z$10001,Listes!A8,Encodage!$Z$3:$Z$10001))/(SUMIF(Encodage!$B$3:$Z$10001,Listes!A8,Encodage!$Y$3:$Y$10001)),"")</f>
        <v/>
      </c>
      <c r="K8" t="s">
        <v>72</v>
      </c>
    </row>
    <row r="9" spans="1:24" ht="21" customHeight="1">
      <c r="A9" t="s">
        <v>20</v>
      </c>
      <c r="B9" t="s">
        <v>71</v>
      </c>
      <c r="C9" t="s">
        <v>84</v>
      </c>
      <c r="D9" t="s">
        <v>85</v>
      </c>
      <c r="E9">
        <v>8</v>
      </c>
      <c r="F9">
        <v>2</v>
      </c>
      <c r="G9" s="2">
        <v>19.95</v>
      </c>
      <c r="H9" s="2">
        <v>44.9</v>
      </c>
      <c r="I9" s="2">
        <f ca="1">IFERROR((SUMIF(Encodage!$B$3:$Z$10001,Listes!A10,Encodage!$Z$3:$Z$10001))/(SUMIF(Encodage!$B$3:$Z$10001,Listes!A10,Encodage!$Y$3:$Y$10001)),"")</f>
        <v>0.94999999999999984</v>
      </c>
    </row>
    <row r="10" spans="1:24" ht="21" customHeight="1">
      <c r="A10" t="s">
        <v>14</v>
      </c>
      <c r="B10" t="s">
        <v>71</v>
      </c>
      <c r="C10" t="s">
        <v>84</v>
      </c>
      <c r="D10" t="s">
        <v>86</v>
      </c>
      <c r="E10">
        <v>2</v>
      </c>
      <c r="F10">
        <v>2</v>
      </c>
      <c r="G10" s="2">
        <v>19.95</v>
      </c>
      <c r="H10" s="2">
        <v>44.9</v>
      </c>
      <c r="I10" s="2">
        <f ca="1">IFERROR((SUMIF(Encodage!$B$3:$Z$10001,Listes!A4,Encodage!$Z$3:$Z$10001))/(SUMIF(Encodage!$B$3:$Z$10001,Listes!A4,Encodage!$Y$3:$Y$10001)),"")</f>
        <v>3.5999999999999996</v>
      </c>
    </row>
    <row r="11" spans="1:24" ht="21" customHeight="1">
      <c r="G11" s="2"/>
      <c r="H11" s="2"/>
      <c r="I11" s="2"/>
    </row>
    <row r="12" spans="1:24" ht="21" customHeight="1">
      <c r="G12" s="2"/>
      <c r="H12" s="2"/>
      <c r="I12" s="2"/>
    </row>
    <row r="13" spans="1:24" ht="21" customHeight="1">
      <c r="G13" s="2"/>
      <c r="H13" s="2"/>
      <c r="I13" s="2"/>
    </row>
    <row r="14" spans="1:24" ht="21" customHeight="1">
      <c r="G14" s="2"/>
      <c r="H14" s="2"/>
      <c r="I14" s="2"/>
    </row>
    <row r="15" spans="1:24" ht="21" customHeight="1">
      <c r="G15" s="2"/>
      <c r="H15" s="2"/>
      <c r="I15" s="2"/>
    </row>
    <row r="16" spans="1:24" ht="21" customHeight="1">
      <c r="G16" s="2"/>
      <c r="H16" s="2"/>
      <c r="I16" s="2"/>
    </row>
  </sheetData>
  <mergeCells count="2">
    <mergeCell ref="O2:S2"/>
    <mergeCell ref="T2:W2"/>
  </mergeCells>
  <phoneticPr fontId="3" type="noConversion"/>
  <dataValidations count="1">
    <dataValidation type="list" allowBlank="1" showInputMessage="1" showErrorMessage="1" sqref="B3:B16">
      <formula1>$K$3:$K$8</formula1>
    </dataValidation>
  </dataValidations>
  <pageMargins left="0.75" right="0.75" top="1" bottom="1" header="0.5" footer="0.5"/>
  <pageSetup paperSize="9" scale="99" orientation="portrait" horizontalDpi="4294967292" verticalDpi="4294967292"/>
  <tableParts count="3">
    <tablePart r:id="rId1"/>
    <tablePart r:id="rId2"/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Z11"/>
  <sheetViews>
    <sheetView zoomScale="125" zoomScaleNormal="125" zoomScalePageLayoutView="125" workbookViewId="0">
      <selection activeCell="G3" sqref="G3"/>
    </sheetView>
  </sheetViews>
  <sheetFormatPr baseColWidth="10" defaultRowHeight="21" customHeight="1"/>
  <cols>
    <col min="1" max="1" width="10.875" style="6"/>
    <col min="2" max="2" width="16" customWidth="1"/>
    <col min="3" max="3" width="16" style="4" customWidth="1"/>
    <col min="4" max="5" width="10.875" style="4"/>
    <col min="7" max="7" width="23" bestFit="1" customWidth="1"/>
    <col min="8" max="8" width="16.5" bestFit="1" customWidth="1"/>
    <col min="9" max="9" width="19.5" bestFit="1" customWidth="1"/>
    <col min="10" max="10" width="10.875" style="4"/>
    <col min="11" max="11" width="10.875" style="4" customWidth="1"/>
    <col min="12" max="13" width="10.875" customWidth="1"/>
  </cols>
  <sheetData>
    <row r="1" spans="1:26" ht="21" customHeight="1">
      <c r="A1" s="6" t="s">
        <v>55</v>
      </c>
    </row>
    <row r="2" spans="1:26" ht="21" customHeight="1">
      <c r="A2" s="6" t="s">
        <v>9</v>
      </c>
      <c r="B2" t="s">
        <v>1</v>
      </c>
      <c r="C2" s="6" t="s">
        <v>23</v>
      </c>
      <c r="D2" s="6" t="s">
        <v>10</v>
      </c>
      <c r="E2" s="4" t="s">
        <v>12</v>
      </c>
      <c r="F2" t="s">
        <v>11</v>
      </c>
      <c r="G2" t="s">
        <v>27</v>
      </c>
      <c r="H2" t="s">
        <v>3</v>
      </c>
      <c r="I2" t="s">
        <v>4</v>
      </c>
      <c r="J2" s="6" t="s">
        <v>30</v>
      </c>
      <c r="K2" s="6" t="s">
        <v>31</v>
      </c>
      <c r="L2" s="6"/>
      <c r="Y2" t="s">
        <v>26</v>
      </c>
    </row>
    <row r="3" spans="1:26" ht="21" customHeight="1">
      <c r="A3" s="10">
        <f ca="1">TODAY()</f>
        <v>42914</v>
      </c>
      <c r="B3" t="s">
        <v>17</v>
      </c>
      <c r="D3" s="4" t="s">
        <v>13</v>
      </c>
      <c r="E3" s="4">
        <v>10</v>
      </c>
      <c r="F3" s="5">
        <v>2.6</v>
      </c>
      <c r="G3" t="str">
        <f>VLOOKUP(B3,Listes!$A$3:$H$20,2,)</f>
        <v>Huile d'olive</v>
      </c>
      <c r="H3" t="str">
        <f>VLOOKUP(B3,Listes!$A$3:$H$20,3,)</f>
        <v>Giorgio Oil</v>
      </c>
      <c r="I3" t="str">
        <f>VLOOKUP(B3,Listes!$A$3:$H$20,4,)</f>
        <v>Extra virgin olive oil</v>
      </c>
      <c r="J3" s="4">
        <f>IFERROR(VLOOKUP(B3,TProduits[],5,0)+SUMIFS($E$3:E3,$B$3:B3,B3,$D$3:D3,"IN")-SUMIFS($E$3:E3,$B$3:B3,B3,$D$3:D3,"OUT"),"")</f>
        <v>85</v>
      </c>
      <c r="K3" s="4">
        <f>VLOOKUP(B3,TProduits[],6,FALSE)</f>
        <v>10</v>
      </c>
      <c r="Y3">
        <f t="shared" ref="Y3:Y9" si="0">IF(D3="IN",E3,"")</f>
        <v>10</v>
      </c>
      <c r="Z3">
        <f t="shared" ref="Z3:Z9" si="1">IF(D3="IN",E3*F3,"")</f>
        <v>26</v>
      </c>
    </row>
    <row r="4" spans="1:26" ht="21" customHeight="1">
      <c r="B4" t="s">
        <v>15</v>
      </c>
      <c r="D4" s="4" t="s">
        <v>13</v>
      </c>
      <c r="E4" s="4">
        <v>5</v>
      </c>
      <c r="F4" s="5">
        <v>1.6</v>
      </c>
      <c r="G4" t="str">
        <f>VLOOKUP(B4,Listes!$A$3:$H$20,2,)</f>
        <v>Conserve</v>
      </c>
      <c r="H4" t="str">
        <f>VLOOKUP(B4,Listes!$A$3:$H$20,3,)</f>
        <v>La Casa di Mamma</v>
      </c>
      <c r="I4" t="str">
        <f>VLOOKUP(B4,Listes!$A$3:$H$20,4,)</f>
        <v>Tomates pelées basilic</v>
      </c>
      <c r="J4" s="4">
        <f>IFERROR(VLOOKUP(B4,TProduits[],5,0)+SUMIFS($E$3:E4,$B$3:B4,B4,$D$3:D4,"IN")-SUMIFS($E$3:E4,$B$3:B4,B4,$D$3:D4,"OUT"),"")</f>
        <v>65</v>
      </c>
      <c r="K4" s="4">
        <f>VLOOKUP(B4,TProduits[],6,FALSE)</f>
        <v>12</v>
      </c>
      <c r="Y4">
        <f t="shared" si="0"/>
        <v>5</v>
      </c>
      <c r="Z4">
        <f t="shared" si="1"/>
        <v>8</v>
      </c>
    </row>
    <row r="5" spans="1:26" ht="21" customHeight="1">
      <c r="B5" t="s">
        <v>20</v>
      </c>
      <c r="D5" s="4" t="s">
        <v>24</v>
      </c>
      <c r="E5" s="4">
        <v>7</v>
      </c>
      <c r="F5" s="5">
        <v>4.25</v>
      </c>
      <c r="G5" t="str">
        <f>VLOOKUP(B5,Listes!$A$3:$H$20,2,)</f>
        <v>Vin</v>
      </c>
      <c r="H5" t="str">
        <f>VLOOKUP(B5,Listes!$A$3:$H$20,3,)</f>
        <v>Antonino</v>
      </c>
      <c r="I5" t="str">
        <f>VLOOKUP(B5,Listes!$A$3:$H$20,4,)</f>
        <v>Antonino 2010</v>
      </c>
      <c r="J5" s="4">
        <f>IFERROR(VLOOKUP(B5,TProduits[],5,0)+SUMIFS($E$3:E5,$B$3:B5,B5,$D$3:D5,"IN")-SUMIFS($E$3:E5,$B$3:B5,B5,$D$3:D5,"OUT"),"")</f>
        <v>15</v>
      </c>
      <c r="K5" s="4">
        <f>VLOOKUP(B5,TProduits[],6,FALSE)</f>
        <v>2</v>
      </c>
      <c r="Y5">
        <f t="shared" si="0"/>
        <v>7</v>
      </c>
      <c r="Z5">
        <f t="shared" si="1"/>
        <v>29.75</v>
      </c>
    </row>
    <row r="6" spans="1:26" ht="21" customHeight="1">
      <c r="B6" t="s">
        <v>21</v>
      </c>
      <c r="D6" s="4" t="s">
        <v>13</v>
      </c>
      <c r="E6" s="4">
        <v>3</v>
      </c>
      <c r="F6" s="5">
        <v>0.95</v>
      </c>
      <c r="G6" t="str">
        <f>VLOOKUP(B6,Listes!$A$3:$H$20,2,)</f>
        <v>Vin</v>
      </c>
      <c r="H6" t="str">
        <f>VLOOKUP(B6,Listes!$A$3:$H$20,3,)</f>
        <v>Antonino</v>
      </c>
      <c r="I6" t="str">
        <f>VLOOKUP(B6,Listes!$A$3:$H$20,4,)</f>
        <v>Antonino 2013</v>
      </c>
      <c r="J6" s="4">
        <f>IFERROR(VLOOKUP(B6,TProduits[],5,0)+SUMIFS($E$3:E6,$B$3:B6,B6,$D$3:D6,"IN")-SUMIFS($E$3:E6,$B$3:B6,B6,$D$3:D6,"OUT"),"")</f>
        <v>5</v>
      </c>
      <c r="K6" s="4">
        <f>VLOOKUP(B6,TProduits[],6,FALSE)</f>
        <v>2</v>
      </c>
      <c r="Y6">
        <f t="shared" si="0"/>
        <v>3</v>
      </c>
      <c r="Z6">
        <f t="shared" si="1"/>
        <v>2.8499999999999996</v>
      </c>
    </row>
    <row r="7" spans="1:26" ht="21" customHeight="1">
      <c r="B7" t="s">
        <v>22</v>
      </c>
      <c r="D7" s="4" t="s">
        <v>13</v>
      </c>
      <c r="E7" s="4">
        <v>9</v>
      </c>
      <c r="F7" s="5">
        <v>3.6</v>
      </c>
      <c r="G7" t="str">
        <f>VLOOKUP(B7,Listes!$A$3:$H$20,2,)</f>
        <v>Pâtes</v>
      </c>
      <c r="H7" t="str">
        <f>VLOOKUP(B7,Listes!$A$3:$H$20,3,)</f>
        <v>Home Made</v>
      </c>
      <c r="I7" t="str">
        <f>VLOOKUP(B7,Listes!$A$3:$H$20,4,)</f>
        <v>Tortelli</v>
      </c>
      <c r="J7" s="4">
        <f>IFERROR(VLOOKUP(B7,TProduits[],5,0)+SUMIFS($E$3:E7,$B$3:B7,B7,$D$3:D7,"IN")-SUMIFS($E$3:E7,$B$3:B7,B7,$D$3:D7,"OUT"),"")</f>
        <v>139</v>
      </c>
      <c r="K7" s="4">
        <f>VLOOKUP(B7,TProduits[],6,FALSE)</f>
        <v>25</v>
      </c>
      <c r="Y7">
        <f t="shared" si="0"/>
        <v>9</v>
      </c>
      <c r="Z7">
        <f t="shared" si="1"/>
        <v>32.4</v>
      </c>
    </row>
    <row r="8" spans="1:26" ht="21" customHeight="1">
      <c r="B8" t="s">
        <v>15</v>
      </c>
      <c r="D8" s="4" t="s">
        <v>32</v>
      </c>
      <c r="E8" s="4">
        <v>3</v>
      </c>
      <c r="F8" s="5">
        <v>1.1000000000000001</v>
      </c>
      <c r="G8" t="str">
        <f>VLOOKUP(B8,Listes!$A$3:$H$20,2,)</f>
        <v>Conserve</v>
      </c>
      <c r="H8" t="str">
        <f>VLOOKUP(B8,Listes!$A$3:$H$20,3,)</f>
        <v>La Casa di Mamma</v>
      </c>
      <c r="I8" t="str">
        <f>VLOOKUP(B8,Listes!$A$3:$H$20,4,)</f>
        <v>Tomates pelées basilic</v>
      </c>
      <c r="J8" s="4">
        <f>IFERROR(VLOOKUP(B8,TProduits[],5,0)+SUMIFS($E$3:E8,$B$3:B8,B8,$D$3:D8,"IN")-SUMIFS($E$3:E8,$B$3:B8,B8,$D$3:D8,"OUT"),"")</f>
        <v>62</v>
      </c>
      <c r="K8" s="4">
        <f>VLOOKUP(B8,TProduits[],6,FALSE)</f>
        <v>12</v>
      </c>
      <c r="Y8" t="str">
        <f t="shared" si="0"/>
        <v/>
      </c>
      <c r="Z8" t="str">
        <f t="shared" si="1"/>
        <v/>
      </c>
    </row>
    <row r="9" spans="1:26" ht="21" customHeight="1">
      <c r="B9" t="s">
        <v>20</v>
      </c>
      <c r="D9" s="4" t="s">
        <v>24</v>
      </c>
      <c r="E9" s="4">
        <v>5</v>
      </c>
      <c r="F9" s="5">
        <v>3</v>
      </c>
      <c r="G9" t="str">
        <f>VLOOKUP(B9,Listes!$A$3:$H$20,2,)</f>
        <v>Vin</v>
      </c>
      <c r="H9" t="str">
        <f>VLOOKUP(B9,Listes!$A$3:$H$20,3,)</f>
        <v>Antonino</v>
      </c>
      <c r="I9" t="str">
        <f>VLOOKUP(B9,Listes!$A$3:$H$20,4,)</f>
        <v>Antonino 2010</v>
      </c>
      <c r="J9" s="4">
        <f>IFERROR(VLOOKUP(B9,TProduits[],5,0)+SUMIFS($E$3:E9,$B$3:B9,B9,$D$3:D9,"IN")-SUMIFS($E$3:E9,$B$3:B9,B9,$D$3:D9,"OUT"),"")</f>
        <v>20</v>
      </c>
      <c r="K9" s="4">
        <f>VLOOKUP(B9,TProduits[],6,FALSE)</f>
        <v>2</v>
      </c>
      <c r="Y9">
        <f t="shared" si="0"/>
        <v>5</v>
      </c>
      <c r="Z9">
        <f t="shared" si="1"/>
        <v>15</v>
      </c>
    </row>
    <row r="10" spans="1:26" ht="21" customHeight="1">
      <c r="B10" t="s">
        <v>15</v>
      </c>
      <c r="C10" s="4">
        <v>523</v>
      </c>
      <c r="D10" s="4" t="s">
        <v>32</v>
      </c>
      <c r="E10" s="4">
        <v>3</v>
      </c>
      <c r="F10" s="5"/>
      <c r="G10" s="1" t="str">
        <f>VLOOKUP(B10,Listes!$A$3:$H$20,2,)</f>
        <v>Conserve</v>
      </c>
      <c r="H10" t="str">
        <f>VLOOKUP(B10,Listes!$A$3:$H$20,3,)</f>
        <v>La Casa di Mamma</v>
      </c>
      <c r="I10" t="str">
        <f>VLOOKUP(B10,Listes!$A$3:$H$20,4,)</f>
        <v>Tomates pelées basilic</v>
      </c>
      <c r="J10" s="4">
        <f>IFERROR(VLOOKUP(B10,TProduits[],5,0)+SUMIFS($E$3:E10,$B$3:B10,B10,$D$3:D10,"IN")-SUMIFS($E$3:E10,$B$3:B10,B10,$D$3:D10,"OUT"),"")</f>
        <v>59</v>
      </c>
      <c r="K10" s="4">
        <f>VLOOKUP(B10,TProduits[],6,FALSE)</f>
        <v>12</v>
      </c>
    </row>
    <row r="11" spans="1:26" ht="21" customHeight="1">
      <c r="B11" t="s">
        <v>22</v>
      </c>
      <c r="C11" s="4">
        <v>523</v>
      </c>
      <c r="D11" s="4" t="s">
        <v>32</v>
      </c>
      <c r="E11" s="4">
        <v>1</v>
      </c>
      <c r="F11" s="5"/>
      <c r="G11" s="1" t="str">
        <f>VLOOKUP(B11,Listes!$A$3:$H$20,2,)</f>
        <v>Pâtes</v>
      </c>
      <c r="H11" t="str">
        <f>VLOOKUP(B11,Listes!$A$3:$H$20,3,)</f>
        <v>Home Made</v>
      </c>
      <c r="I11" t="str">
        <f>VLOOKUP(B11,Listes!$A$3:$H$20,4,)</f>
        <v>Tortelli</v>
      </c>
      <c r="J11" s="4">
        <f>IFERROR(VLOOKUP(B11,TProduits[],5,0)+SUMIFS($E$3:E11,$B$3:B11,B11,$D$3:D11,"IN")-SUMIFS($E$3:E11,$B$3:B11,B11,$D$3:D11,"OUT"),"")</f>
        <v>138</v>
      </c>
      <c r="K11" s="4">
        <f>VLOOKUP(B11,TProduits[],6,FALSE)</f>
        <v>25</v>
      </c>
    </row>
  </sheetData>
  <conditionalFormatting sqref="A3:K11">
    <cfRule type="expression" dxfId="0" priority="3">
      <formula>$J3&lt;=$K3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J57"/>
  <sheetViews>
    <sheetView zoomScale="125" zoomScaleNormal="125" zoomScalePageLayoutView="125" workbookViewId="0">
      <selection activeCell="A6" sqref="A6"/>
    </sheetView>
  </sheetViews>
  <sheetFormatPr baseColWidth="10" defaultRowHeight="21" customHeight="1"/>
  <cols>
    <col min="1" max="1" width="12" customWidth="1"/>
    <col min="2" max="2" width="23" bestFit="1" customWidth="1"/>
    <col min="3" max="3" width="16.5" bestFit="1" customWidth="1"/>
    <col min="4" max="4" width="20.375" bestFit="1" customWidth="1"/>
    <col min="5" max="5" width="12" customWidth="1"/>
    <col min="6" max="6" width="13.125" style="4" customWidth="1"/>
    <col min="7" max="8" width="12" style="4" customWidth="1"/>
    <col min="9" max="9" width="12.5" style="4" customWidth="1"/>
    <col min="10" max="10" width="13.625" customWidth="1"/>
  </cols>
  <sheetData>
    <row r="1" spans="1:10" ht="21" customHeight="1">
      <c r="A1" t="s">
        <v>33</v>
      </c>
    </row>
    <row r="2" spans="1:10" ht="21" customHeight="1">
      <c r="A2" t="s">
        <v>1</v>
      </c>
      <c r="B2" t="s">
        <v>2</v>
      </c>
      <c r="C2" t="s">
        <v>3</v>
      </c>
      <c r="D2" t="s">
        <v>34</v>
      </c>
      <c r="E2" t="s">
        <v>11</v>
      </c>
      <c r="F2" s="4" t="s">
        <v>28</v>
      </c>
      <c r="G2" s="4" t="s">
        <v>37</v>
      </c>
      <c r="H2" s="4" t="s">
        <v>35</v>
      </c>
      <c r="I2" s="4" t="s">
        <v>36</v>
      </c>
      <c r="J2" t="s">
        <v>38</v>
      </c>
    </row>
    <row r="3" spans="1:10" ht="21" customHeight="1">
      <c r="A3" t="str">
        <f>TProduits[[#This Row],[Référence]]</f>
        <v>BT/1199</v>
      </c>
      <c r="B3" t="str">
        <f>TProduits[[#This Row],[Catégorie]]</f>
        <v>Pâtes</v>
      </c>
      <c r="C3" t="str">
        <f>TProduits[[#This Row],[Nom]]</f>
        <v>Home Made</v>
      </c>
      <c r="D3" t="str">
        <f>TProduits[[#This Row],[Colori]]</f>
        <v>Penne</v>
      </c>
      <c r="E3" s="3">
        <f ca="1">VLOOKUP(A3,TProduits[],9,0)</f>
        <v>3.7291666666666665</v>
      </c>
      <c r="F3" s="4">
        <f>VLOOKUP(A3,TProduits[],5,0)</f>
        <v>120</v>
      </c>
      <c r="G3" s="4">
        <f>SUMIFS(Tencodage[Quantité],Tencodage[Référence],Inventaire!A10,Tencodage[Type mvt],"IN")</f>
        <v>3</v>
      </c>
      <c r="H3" s="4">
        <f>SUMIFS(Tencodage[Quantité],Tencodage[Référence],Inventaire!A10,Tencodage[Type mvt],"out")</f>
        <v>0</v>
      </c>
      <c r="I3" s="4">
        <f t="shared" ref="I3:I10" si="0">F3+G3-H3</f>
        <v>123</v>
      </c>
      <c r="J3" s="3">
        <f t="shared" ref="J3:J10" ca="1" si="1">IFERROR(E3*I3,"")</f>
        <v>458.6875</v>
      </c>
    </row>
    <row r="4" spans="1:10" ht="21" customHeight="1">
      <c r="A4" t="str">
        <f>TProduits[[#This Row],[Référence]]</f>
        <v>BT/2454</v>
      </c>
      <c r="B4" t="str">
        <f>TProduits[[#This Row],[Catégorie]]</f>
        <v>Pâtes</v>
      </c>
      <c r="C4" t="str">
        <f>TProduits[[#This Row],[Nom]]</f>
        <v>Home Made</v>
      </c>
      <c r="D4" t="str">
        <f>TProduits[[#This Row],[Colori]]</f>
        <v>Tortelli</v>
      </c>
      <c r="E4" s="3" t="str">
        <f ca="1">VLOOKUP(A4,TProduits[],9,0)</f>
        <v/>
      </c>
      <c r="F4" s="4">
        <f>VLOOKUP(A4,TProduits[],5,0)</f>
        <v>130</v>
      </c>
      <c r="G4" s="4">
        <f>SUMIFS(Tencodage[Quantité],Tencodage[Référence],Inventaire!A9,Tencodage[Type mvt],"IN")</f>
        <v>12</v>
      </c>
      <c r="H4" s="4">
        <f>SUMIFS(Tencodage[Quantité],Tencodage[Référence],Inventaire!A9,Tencodage[Type mvt],"out")</f>
        <v>0</v>
      </c>
      <c r="I4" s="4">
        <f t="shared" si="0"/>
        <v>142</v>
      </c>
      <c r="J4" s="3" t="str">
        <f t="shared" ca="1" si="1"/>
        <v/>
      </c>
    </row>
    <row r="5" spans="1:10" ht="21" customHeight="1">
      <c r="A5" t="str">
        <f>TProduits[[#This Row],[Référence]]</f>
        <v>CF/81190</v>
      </c>
      <c r="B5" t="str">
        <f>TProduits[[#This Row],[Catégorie]]</f>
        <v>Huile d'olive</v>
      </c>
      <c r="C5" t="str">
        <f>TProduits[[#This Row],[Nom]]</f>
        <v>Giorgio Oil</v>
      </c>
      <c r="D5" t="str">
        <f>TProduits[[#This Row],[Colori]]</f>
        <v>Extra virgin olive oil</v>
      </c>
      <c r="E5" s="3">
        <f ca="1">VLOOKUP(A5,TProduits[],9,0)</f>
        <v>1.6</v>
      </c>
      <c r="F5" s="4">
        <f>VLOOKUP(A5,TProduits[],5,0)</f>
        <v>75</v>
      </c>
      <c r="G5" s="4">
        <f>SUMIFS(Tencodage[Quantité],Tencodage[Référence],Inventaire!A5,Tencodage[Type mvt],"IN")</f>
        <v>10</v>
      </c>
      <c r="H5" s="4">
        <f>SUMIFS(Tencodage[Quantité],Tencodage[Référence],Inventaire!A5,Tencodage[Type mvt],"out")</f>
        <v>0</v>
      </c>
      <c r="I5" s="4">
        <f t="shared" si="0"/>
        <v>85</v>
      </c>
      <c r="J5" s="3">
        <f t="shared" ca="1" si="1"/>
        <v>136</v>
      </c>
    </row>
    <row r="6" spans="1:10" ht="21" customHeight="1">
      <c r="A6" t="str">
        <f>TProduits[[#This Row],[Référence]]</f>
        <v>LP/80489</v>
      </c>
      <c r="B6" t="str">
        <f>TProduits[[#This Row],[Catégorie]]</f>
        <v>Fromage</v>
      </c>
      <c r="C6" t="str">
        <f>TProduits[[#This Row],[Nom]]</f>
        <v>La Casa di Mama</v>
      </c>
      <c r="D6" t="str">
        <f>TProduits[[#This Row],[Colori]]</f>
        <v>Pecorino</v>
      </c>
      <c r="E6" s="3" t="str">
        <f ca="1">VLOOKUP(A6,TProduits[],9,0)</f>
        <v/>
      </c>
      <c r="F6" s="4">
        <f>VLOOKUP(A6,TProduits[],5,0)</f>
        <v>25</v>
      </c>
      <c r="G6" s="4">
        <f>SUMIFS(Tencodage[Quantité],Tencodage[Référence],Inventaire!A6,Tencodage[Type mvt],"IN")</f>
        <v>0</v>
      </c>
      <c r="H6" s="4">
        <f>SUMIFS(Tencodage[Quantité],Tencodage[Référence],Inventaire!A6,Tencodage[Type mvt],"out")</f>
        <v>0</v>
      </c>
      <c r="I6" s="4">
        <f t="shared" si="0"/>
        <v>25</v>
      </c>
      <c r="J6" s="3" t="str">
        <f t="shared" ca="1" si="1"/>
        <v/>
      </c>
    </row>
    <row r="7" spans="1:10" ht="21" customHeight="1">
      <c r="A7" t="str">
        <f>TProduits[[#This Row],[Référence]]</f>
        <v>PS/2458</v>
      </c>
      <c r="B7" t="str">
        <f>TProduits[[#This Row],[Catégorie]]</f>
        <v>Conserve</v>
      </c>
      <c r="C7" t="str">
        <f>TProduits[[#This Row],[Nom]]</f>
        <v>La Casa di Mamma</v>
      </c>
      <c r="D7" t="str">
        <f>TProduits[[#This Row],[Colori]]</f>
        <v>Tomates pelées basilic</v>
      </c>
      <c r="E7" s="3">
        <f ca="1">VLOOKUP(A7,TProduits[],9,0)</f>
        <v>2.6</v>
      </c>
      <c r="F7" s="4">
        <f>VLOOKUP(A7,TProduits[],5,0)</f>
        <v>60</v>
      </c>
      <c r="G7" s="4">
        <f>SUMIFS(Tencodage[Quantité],Tencodage[Référence],Inventaire!A7,Tencodage[Type mvt],"IN")</f>
        <v>5</v>
      </c>
      <c r="H7" s="4">
        <f>SUMIFS(Tencodage[Quantité],Tencodage[Référence],Inventaire!A7,Tencodage[Type mvt],"out")</f>
        <v>6</v>
      </c>
      <c r="I7" s="4">
        <f t="shared" si="0"/>
        <v>59</v>
      </c>
      <c r="J7" s="3">
        <f t="shared" ca="1" si="1"/>
        <v>153.4</v>
      </c>
    </row>
    <row r="8" spans="1:10" ht="21" customHeight="1">
      <c r="A8" t="str">
        <f>TProduits[[#This Row],[Référence]]</f>
        <v>TC/81390</v>
      </c>
      <c r="B8" t="str">
        <f>TProduits[[#This Row],[Catégorie]]</f>
        <v>Divers</v>
      </c>
      <c r="C8" t="str">
        <f>TProduits[[#This Row],[Nom]]</f>
        <v>Décoration</v>
      </c>
      <c r="D8" t="str">
        <f>TProduits[[#This Row],[Colori]]</f>
        <v>Bougies</v>
      </c>
      <c r="E8" s="3" t="str">
        <f ca="1">VLOOKUP(A8,TProduits[],9,0)</f>
        <v/>
      </c>
      <c r="F8" s="4">
        <f>VLOOKUP(A8,TProduits[],5,0)</f>
        <v>6</v>
      </c>
      <c r="G8" s="4">
        <f>SUMIFS(Tencodage[Quantité],Tencodage[Référence],Inventaire!A8,Tencodage[Type mvt],"IN")</f>
        <v>0</v>
      </c>
      <c r="H8" s="4">
        <f>SUMIFS(Tencodage[Quantité],Tencodage[Référence],Inventaire!A8,Tencodage[Type mvt],"out")</f>
        <v>0</v>
      </c>
      <c r="I8" s="4">
        <f t="shared" si="0"/>
        <v>6</v>
      </c>
      <c r="J8" s="3" t="str">
        <f t="shared" ca="1" si="1"/>
        <v/>
      </c>
    </row>
    <row r="9" spans="1:10" ht="21" customHeight="1">
      <c r="A9" t="str">
        <f>TProduits[[#This Row],[Référence]]</f>
        <v>TI/1175</v>
      </c>
      <c r="B9" t="str">
        <f>TProduits[[#This Row],[Catégorie]]</f>
        <v>Vin</v>
      </c>
      <c r="C9" t="str">
        <f>TProduits[[#This Row],[Nom]]</f>
        <v>Antonino</v>
      </c>
      <c r="D9" t="str">
        <f>TProduits[[#This Row],[Colori]]</f>
        <v>Antonino 2010</v>
      </c>
      <c r="E9" s="3">
        <f ca="1">VLOOKUP(A9,TProduits[],9,0)</f>
        <v>0.94999999999999984</v>
      </c>
      <c r="F9" s="4">
        <f>VLOOKUP(A9,TProduits[],5,0)</f>
        <v>8</v>
      </c>
      <c r="G9" s="4">
        <f>SUMIFS(Tencodage[Quantité],Tencodage[Référence],Inventaire!A4,Tencodage[Type mvt],"IN")</f>
        <v>9</v>
      </c>
      <c r="H9" s="4">
        <f>SUMIFS(Tencodage[Quantité],Tencodage[Référence],Inventaire!A4,Tencodage[Type mvt],"out")</f>
        <v>1</v>
      </c>
      <c r="I9" s="4">
        <f t="shared" si="0"/>
        <v>16</v>
      </c>
      <c r="J9" s="3">
        <f t="shared" ca="1" si="1"/>
        <v>15.199999999999998</v>
      </c>
    </row>
    <row r="10" spans="1:10" ht="21" customHeight="1">
      <c r="A10" t="str">
        <f>TProduits[[#This Row],[Référence]]</f>
        <v>TI/2456</v>
      </c>
      <c r="B10" t="str">
        <f>TProduits[[#This Row],[Catégorie]]</f>
        <v>Vin</v>
      </c>
      <c r="C10" t="str">
        <f>TProduits[[#This Row],[Nom]]</f>
        <v>Antonino</v>
      </c>
      <c r="D10" t="str">
        <f>TProduits[[#This Row],[Colori]]</f>
        <v>Antonino 2013</v>
      </c>
      <c r="E10" s="3">
        <f ca="1">VLOOKUP(A10,TProduits[],9,0)</f>
        <v>3.5999999999999996</v>
      </c>
      <c r="F10" s="4">
        <f>VLOOKUP(A10,TProduits[],5,0)</f>
        <v>2</v>
      </c>
      <c r="G10" s="4">
        <f>SUMIFS(Tencodage[Quantité],Tencodage[Référence],Inventaire!A3,Tencodage[Type mvt],"IN")</f>
        <v>0</v>
      </c>
      <c r="H10" s="4">
        <f>SUMIFS(Tencodage[Quantité],Tencodage[Référence],Inventaire!A3,Tencodage[Type mvt],"out")</f>
        <v>0</v>
      </c>
      <c r="I10" s="4">
        <f t="shared" si="0"/>
        <v>2</v>
      </c>
      <c r="J10" s="3">
        <f t="shared" ca="1" si="1"/>
        <v>7.1999999999999993</v>
      </c>
    </row>
    <row r="11" spans="1:10" ht="21" customHeight="1">
      <c r="J11" s="3">
        <f t="shared" ref="J11:J57" si="2">IFERROR(E11*I11,"")</f>
        <v>0</v>
      </c>
    </row>
    <row r="12" spans="1:10" ht="21" customHeight="1">
      <c r="J12" s="3">
        <f t="shared" si="2"/>
        <v>0</v>
      </c>
    </row>
    <row r="13" spans="1:10" ht="21" customHeight="1">
      <c r="J13" s="3">
        <f t="shared" si="2"/>
        <v>0</v>
      </c>
    </row>
    <row r="14" spans="1:10" ht="21" customHeight="1">
      <c r="J14" s="3">
        <f t="shared" si="2"/>
        <v>0</v>
      </c>
    </row>
    <row r="15" spans="1:10" ht="21" customHeight="1">
      <c r="J15" s="3">
        <f t="shared" si="2"/>
        <v>0</v>
      </c>
    </row>
    <row r="16" spans="1:10" ht="21" customHeight="1">
      <c r="J16" s="3">
        <f t="shared" si="2"/>
        <v>0</v>
      </c>
    </row>
    <row r="17" spans="10:10" ht="21" customHeight="1">
      <c r="J17" s="3">
        <f t="shared" si="2"/>
        <v>0</v>
      </c>
    </row>
    <row r="18" spans="10:10" ht="21" customHeight="1">
      <c r="J18" s="3">
        <f t="shared" si="2"/>
        <v>0</v>
      </c>
    </row>
    <row r="19" spans="10:10" ht="21" customHeight="1">
      <c r="J19" s="3">
        <f t="shared" si="2"/>
        <v>0</v>
      </c>
    </row>
    <row r="20" spans="10:10" ht="21" customHeight="1">
      <c r="J20" s="3">
        <f t="shared" si="2"/>
        <v>0</v>
      </c>
    </row>
    <row r="21" spans="10:10" ht="21" customHeight="1">
      <c r="J21" s="3">
        <f t="shared" si="2"/>
        <v>0</v>
      </c>
    </row>
    <row r="22" spans="10:10" ht="21" customHeight="1">
      <c r="J22" s="3">
        <f t="shared" si="2"/>
        <v>0</v>
      </c>
    </row>
    <row r="23" spans="10:10" ht="21" customHeight="1">
      <c r="J23" s="3">
        <f t="shared" si="2"/>
        <v>0</v>
      </c>
    </row>
    <row r="24" spans="10:10" ht="21" customHeight="1">
      <c r="J24" s="3">
        <f t="shared" si="2"/>
        <v>0</v>
      </c>
    </row>
    <row r="25" spans="10:10" ht="21" customHeight="1">
      <c r="J25" s="3">
        <f t="shared" si="2"/>
        <v>0</v>
      </c>
    </row>
    <row r="26" spans="10:10" ht="21" customHeight="1">
      <c r="J26" s="3">
        <f t="shared" si="2"/>
        <v>0</v>
      </c>
    </row>
    <row r="27" spans="10:10" ht="21" customHeight="1">
      <c r="J27" s="3">
        <f t="shared" si="2"/>
        <v>0</v>
      </c>
    </row>
    <row r="28" spans="10:10" ht="21" customHeight="1">
      <c r="J28" s="3">
        <f t="shared" si="2"/>
        <v>0</v>
      </c>
    </row>
    <row r="29" spans="10:10" ht="21" customHeight="1">
      <c r="J29" s="3">
        <f t="shared" si="2"/>
        <v>0</v>
      </c>
    </row>
    <row r="30" spans="10:10" ht="21" customHeight="1">
      <c r="J30" s="3">
        <f t="shared" si="2"/>
        <v>0</v>
      </c>
    </row>
    <row r="31" spans="10:10" ht="21" customHeight="1">
      <c r="J31" s="3">
        <f t="shared" si="2"/>
        <v>0</v>
      </c>
    </row>
    <row r="32" spans="10:10" ht="21" customHeight="1">
      <c r="J32" s="3">
        <f t="shared" si="2"/>
        <v>0</v>
      </c>
    </row>
    <row r="33" spans="10:10" ht="21" customHeight="1">
      <c r="J33" s="3">
        <f t="shared" si="2"/>
        <v>0</v>
      </c>
    </row>
    <row r="34" spans="10:10" ht="21" customHeight="1">
      <c r="J34" s="3">
        <f t="shared" si="2"/>
        <v>0</v>
      </c>
    </row>
    <row r="35" spans="10:10" ht="21" customHeight="1">
      <c r="J35" s="3">
        <f t="shared" si="2"/>
        <v>0</v>
      </c>
    </row>
    <row r="36" spans="10:10" ht="21" customHeight="1">
      <c r="J36" s="3">
        <f t="shared" si="2"/>
        <v>0</v>
      </c>
    </row>
    <row r="37" spans="10:10" ht="21" customHeight="1">
      <c r="J37" s="3">
        <f t="shared" si="2"/>
        <v>0</v>
      </c>
    </row>
    <row r="38" spans="10:10" ht="21" customHeight="1">
      <c r="J38" s="3">
        <f t="shared" si="2"/>
        <v>0</v>
      </c>
    </row>
    <row r="39" spans="10:10" ht="21" customHeight="1">
      <c r="J39" s="3">
        <f t="shared" si="2"/>
        <v>0</v>
      </c>
    </row>
    <row r="40" spans="10:10" ht="21" customHeight="1">
      <c r="J40" s="3">
        <f t="shared" si="2"/>
        <v>0</v>
      </c>
    </row>
    <row r="41" spans="10:10" ht="21" customHeight="1">
      <c r="J41" s="3">
        <f t="shared" si="2"/>
        <v>0</v>
      </c>
    </row>
    <row r="42" spans="10:10" ht="21" customHeight="1">
      <c r="J42" s="3">
        <f t="shared" si="2"/>
        <v>0</v>
      </c>
    </row>
    <row r="43" spans="10:10" ht="21" customHeight="1">
      <c r="J43" s="3">
        <f t="shared" si="2"/>
        <v>0</v>
      </c>
    </row>
    <row r="44" spans="10:10" ht="21" customHeight="1">
      <c r="J44" s="3">
        <f t="shared" si="2"/>
        <v>0</v>
      </c>
    </row>
    <row r="45" spans="10:10" ht="21" customHeight="1">
      <c r="J45" s="3">
        <f t="shared" si="2"/>
        <v>0</v>
      </c>
    </row>
    <row r="46" spans="10:10" ht="21" customHeight="1">
      <c r="J46" s="3">
        <f t="shared" si="2"/>
        <v>0</v>
      </c>
    </row>
    <row r="47" spans="10:10" ht="21" customHeight="1">
      <c r="J47" s="3">
        <f t="shared" si="2"/>
        <v>0</v>
      </c>
    </row>
    <row r="48" spans="10:10" ht="21" customHeight="1">
      <c r="J48" s="3">
        <f t="shared" si="2"/>
        <v>0</v>
      </c>
    </row>
    <row r="49" spans="10:10" ht="21" customHeight="1">
      <c r="J49" s="3">
        <f t="shared" si="2"/>
        <v>0</v>
      </c>
    </row>
    <row r="50" spans="10:10" ht="21" customHeight="1">
      <c r="J50" s="3">
        <f t="shared" si="2"/>
        <v>0</v>
      </c>
    </row>
    <row r="51" spans="10:10" ht="21" customHeight="1">
      <c r="J51" s="3">
        <f t="shared" si="2"/>
        <v>0</v>
      </c>
    </row>
    <row r="52" spans="10:10" ht="21" customHeight="1">
      <c r="J52" s="3">
        <f t="shared" si="2"/>
        <v>0</v>
      </c>
    </row>
    <row r="53" spans="10:10" ht="21" customHeight="1">
      <c r="J53" s="3">
        <f t="shared" si="2"/>
        <v>0</v>
      </c>
    </row>
    <row r="54" spans="10:10" ht="21" customHeight="1">
      <c r="J54" s="3">
        <f t="shared" si="2"/>
        <v>0</v>
      </c>
    </row>
    <row r="55" spans="10:10" ht="21" customHeight="1">
      <c r="J55" s="3">
        <f t="shared" si="2"/>
        <v>0</v>
      </c>
    </row>
    <row r="56" spans="10:10" ht="21" customHeight="1">
      <c r="J56" s="3">
        <f t="shared" si="2"/>
        <v>0</v>
      </c>
    </row>
    <row r="57" spans="10:10" ht="21" customHeight="1">
      <c r="J57" s="3">
        <f t="shared" si="2"/>
        <v>0</v>
      </c>
    </row>
  </sheetData>
  <pageMargins left="0.75" right="0.75" top="1" bottom="1" header="0.5" footer="0.5"/>
  <pageSetup paperSize="9" orientation="portrait" horizontalDpi="4294967292" verticalDpi="4294967292"/>
  <ignoredErrors>
    <ignoredError sqref="G3:G4 G9:G10 H9:H10 H3:H4" calculatedColumn="1"/>
  </ignoredErrors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abSelected="1" topLeftCell="C9" workbookViewId="0">
      <selection activeCell="C33" sqref="C33"/>
    </sheetView>
  </sheetViews>
  <sheetFormatPr baseColWidth="10" defaultRowHeight="15.75"/>
  <cols>
    <col min="1" max="1" width="18" customWidth="1"/>
    <col min="6" max="6" width="48.875" customWidth="1"/>
    <col min="7" max="7" width="7.5" style="17" bestFit="1" customWidth="1"/>
    <col min="8" max="8" width="13.875" bestFit="1" customWidth="1"/>
    <col min="9" max="9" width="16.75" bestFit="1" customWidth="1"/>
    <col min="10" max="10" width="19.375" bestFit="1" customWidth="1"/>
  </cols>
  <sheetData>
    <row r="1" spans="1:14">
      <c r="A1" t="s">
        <v>87</v>
      </c>
    </row>
    <row r="3" spans="1:14">
      <c r="A3" t="s">
        <v>96</v>
      </c>
      <c r="B3">
        <v>1</v>
      </c>
      <c r="C3" t="s">
        <v>97</v>
      </c>
      <c r="H3" t="str">
        <f>IF(B3=2,"NOTE DE CREDIT","FACTURE")</f>
        <v>FACTURE</v>
      </c>
    </row>
    <row r="4" spans="1:14">
      <c r="A4" t="s">
        <v>88</v>
      </c>
      <c r="B4" t="s">
        <v>48</v>
      </c>
    </row>
    <row r="5" spans="1:14">
      <c r="A5" t="s">
        <v>54</v>
      </c>
      <c r="B5">
        <v>523</v>
      </c>
    </row>
    <row r="6" spans="1:14">
      <c r="A6" t="s">
        <v>89</v>
      </c>
      <c r="C6" t="s">
        <v>90</v>
      </c>
      <c r="L6" s="8" t="str">
        <f>VLOOKUP($B$4,Tclients[],2,FALSE)</f>
        <v>JP OLIVE</v>
      </c>
    </row>
    <row r="7" spans="1:14">
      <c r="L7" s="8" t="str">
        <f>VLOOKUP($B$4,Tclients[],3,FALSE)</f>
        <v>"Olive &amp; Co"</v>
      </c>
    </row>
    <row r="8" spans="1:14">
      <c r="L8" s="8" t="str">
        <f>VLOOKUP($B$4,Tclients[],4,FALSE)</f>
        <v>Allée de l'Italie, 23</v>
      </c>
    </row>
    <row r="9" spans="1:14">
      <c r="L9" s="8" t="str">
        <f>VLOOKUP($B$4,Tclients[],5,FALSE)&amp;" "&amp;VLOOKUP($B$4,Tclients[],6,FALSE)</f>
        <v>1000 Bruxelles</v>
      </c>
    </row>
    <row r="11" spans="1:14">
      <c r="H11" t="s">
        <v>91</v>
      </c>
      <c r="I11" s="9">
        <f ca="1">IF(B6="",TODAY(),B6)</f>
        <v>42914</v>
      </c>
    </row>
    <row r="12" spans="1:14">
      <c r="H12" t="s">
        <v>92</v>
      </c>
      <c r="I12" t="str">
        <f>B4</f>
        <v>MC17101</v>
      </c>
    </row>
    <row r="13" spans="1:14">
      <c r="H13" t="s">
        <v>93</v>
      </c>
      <c r="I13">
        <v>523</v>
      </c>
    </row>
    <row r="16" spans="1:14">
      <c r="G16" s="15" t="s">
        <v>98</v>
      </c>
      <c r="H16" s="14" t="s">
        <v>1</v>
      </c>
      <c r="I16" s="14" t="s">
        <v>3</v>
      </c>
      <c r="J16" s="14" t="s">
        <v>4</v>
      </c>
      <c r="K16" s="14" t="s">
        <v>6</v>
      </c>
      <c r="L16" s="14" t="s">
        <v>12</v>
      </c>
      <c r="M16" s="14" t="s">
        <v>94</v>
      </c>
      <c r="N16" s="14" t="s">
        <v>95</v>
      </c>
    </row>
    <row r="17" spans="3:14">
      <c r="G17" s="16" t="str">
        <f t="array" ref="G17">IFERROR(INDEX(Encodage!$A$1:$I$1000,SMALL(IF(Encodage!$C$1:$C$1000=$I$13,ROW($A$1:$A$1000)),ROW(1:1)),2),"")</f>
        <v>PS/2458</v>
      </c>
      <c r="H17" s="12" t="str">
        <f t="array" ref="H17">IFERROR(INDEX(Encodage!$A$1:$I$1000,SMALL(IF(Encodage!$C$1:$C$1000=$I$13,ROW($A$1:$A$1000)),ROW(1:1)),7),"")</f>
        <v>Conserve</v>
      </c>
      <c r="I17" s="12" t="str">
        <f t="array" ref="I17">IFERROR(INDEX(Encodage!$A$1:$I$1000,SMALL(IF(Encodage!$C$1:$C$1000=$I$13,ROW($A$1:$A$1000)),ROW(1:1)),8),"")</f>
        <v>La Casa di Mamma</v>
      </c>
      <c r="J17" s="12" t="str">
        <f t="array" ref="J17">IFERROR(INDEX(Encodage!$A$1:$I$1000,SMALL(IF(Encodage!$C$1:$C$1000=$I$13,ROW($A$1:$A$1000)),ROW(1:1)),9),"")</f>
        <v>Tomates pelées basilic</v>
      </c>
      <c r="K17" s="12" t="str">
        <f t="array" ref="K17">IFERROR(INDEX(Encodage!$A$1:$I$1000,SMALL(IF(Encodage!$C$1:$C$1000=$I$13,ROW($A$1:$A$1000)),ROW(1:1)),7),"")</f>
        <v>Conserve</v>
      </c>
      <c r="L17" s="12">
        <f t="array" ref="L17">IFERROR(INDEX(Encodage!$A$1:$I$1000,SMALL(IF(Encodage!$C$1:$C$1000=$I$13,ROW($A$1:$A$1000)),ROW(1:1)),5),"")</f>
        <v>3</v>
      </c>
      <c r="M17" s="12">
        <f t="array" ref="M17">IFERROR(VLOOKUP('Facture ou NC'!G17,Listes!A:I,7,0),"")</f>
        <v>11.05</v>
      </c>
      <c r="N17" s="13">
        <f>IF(M17="","",L17*M17)</f>
        <v>33.150000000000006</v>
      </c>
    </row>
    <row r="18" spans="3:14">
      <c r="G18" s="16" t="str">
        <f t="array" ref="G18">IFERROR(INDEX(Encodage!$A$1:$I$1000,SMALL(IF(Encodage!$C$1:$C$1000=$I$13,ROW($A$1:$A$1000)),ROW(2:2)),2),"")</f>
        <v>bt/2454</v>
      </c>
      <c r="H18" s="12" t="str">
        <f t="array" ref="H18">IFERROR(INDEX(Encodage!$A$1:$I$1000,SMALL(IF(Encodage!$C$1:$C$1000=$I$13,ROW($A$1:$A$1000)),ROW(2:2)),7),"")</f>
        <v>Pâtes</v>
      </c>
      <c r="I18" s="12" t="str">
        <f t="array" ref="I18">IFERROR(INDEX(Encodage!$A$1:$I$1000,SMALL(IF(Encodage!$C$1:$C$1000=$I$13,ROW($A$1:$A$1000)),ROW(2:2)),8),"")</f>
        <v>Home Made</v>
      </c>
      <c r="J18" s="12" t="str">
        <f t="array" ref="J18">IFERROR(INDEX(Encodage!$A$1:$I$1000,SMALL(IF(Encodage!$C$1:$C$1000=$I$13,ROW($A$1:$A$1000)),ROW(2:2)),9),"")</f>
        <v>Tortelli</v>
      </c>
      <c r="K18" s="12" t="str">
        <f t="array" ref="K18">IFERROR(INDEX(Encodage!$A$1:$I$1000,SMALL(IF(Encodage!$C$1:$C$1000=$I$13,ROW($A$1:$A$1000)),ROW(2:2)),7),"")</f>
        <v>Pâtes</v>
      </c>
      <c r="L18" s="12">
        <f t="array" ref="L18">IFERROR(INDEX(Encodage!$A$1:$I$1000,SMALL(IF(Encodage!$C$1:$C$1000=$I$13,ROW($A$1:$A$1000)),ROW(2:2)),5),"")</f>
        <v>1</v>
      </c>
      <c r="M18" s="12">
        <f t="array" ref="M18">IFERROR(VLOOKUP('Facture ou NC'!G18,Listes!A:I,7,0),"")</f>
        <v>17.75</v>
      </c>
      <c r="N18" s="13">
        <f t="shared" ref="N18:N31" si="0">IF(M18="","",L18*M18)</f>
        <v>17.75</v>
      </c>
    </row>
    <row r="19" spans="3:14">
      <c r="G19" s="16" t="str">
        <f t="array" ref="G19">IFERROR(INDEX(Encodage!$A$1:$I$1000,SMALL(IF(Encodage!$C$1:$C$1000=$I$13,ROW($A$1:$A$1000)),ROW(3:3)),2),"")</f>
        <v/>
      </c>
      <c r="H19" s="12" t="str">
        <f t="array" ref="H19">IFERROR(INDEX(Encodage!$A$1:$I$1000,SMALL(IF(Encodage!$C$1:$C$1000=$I$13,ROW($A$1:$A$1000)),ROW(3:3)),7),"")</f>
        <v/>
      </c>
      <c r="I19" s="12" t="str">
        <f t="array" ref="I19">IFERROR(INDEX(Encodage!$A$1:$I$1000,SMALL(IF(Encodage!$C$1:$C$1000=$I$13,ROW($A$1:$A$1000)),ROW(3:3)),8),"")</f>
        <v/>
      </c>
      <c r="J19" s="12" t="str">
        <f t="array" ref="J19">IFERROR(INDEX(Encodage!$A$1:$I$1000,SMALL(IF(Encodage!$C$1:$C$1000=$I$13,ROW($A$1:$A$1000)),ROW(3:3)),9),"")</f>
        <v/>
      </c>
      <c r="K19" s="12" t="str">
        <f t="array" ref="K19">IFERROR(INDEX(Encodage!$A$1:$I$1000,SMALL(IF(Encodage!$C$1:$C$1000=$I$13,ROW($A$1:$A$1000)),ROW(3:3)),7),"")</f>
        <v/>
      </c>
      <c r="L19" s="12" t="str">
        <f t="array" ref="L19">IFERROR(INDEX(Encodage!$A$1:$I$1000,SMALL(IF(Encodage!$C$1:$C$1000=$I$13,ROW($A$1:$A$1000)),ROW(3:3)),5),"")</f>
        <v/>
      </c>
      <c r="M19" s="12" t="str">
        <f t="array" ref="M19">IFERROR(VLOOKUP('Facture ou NC'!G19,Listes!A:I,7,0),"")</f>
        <v/>
      </c>
      <c r="N19" s="13" t="str">
        <f t="shared" si="0"/>
        <v/>
      </c>
    </row>
    <row r="20" spans="3:14">
      <c r="G20" s="16" t="str">
        <f t="array" ref="G20">IFERROR(INDEX(Encodage!$A$1:$I$1000,SMALL(IF(Encodage!$C$1:$C$1000=$I$13,ROW($A$1:$A$1000)),ROW(4:4)),2),"")</f>
        <v/>
      </c>
      <c r="H20" s="12" t="str">
        <f t="array" ref="H20">IFERROR(INDEX(Encodage!$A$1:$I$1000,SMALL(IF(Encodage!$C$1:$C$1000=$I$13,ROW($A$1:$A$1000)),ROW(4:4)),7),"")</f>
        <v/>
      </c>
      <c r="I20" s="12" t="str">
        <f t="array" ref="I20">IFERROR(INDEX(Encodage!$A$1:$I$1000,SMALL(IF(Encodage!$C$1:$C$1000=$I$13,ROW($A$1:$A$1000)),ROW(4:4)),8),"")</f>
        <v/>
      </c>
      <c r="J20" s="12" t="str">
        <f t="array" ref="J20">IFERROR(INDEX(Encodage!$A$1:$I$1000,SMALL(IF(Encodage!$C$1:$C$1000=$I$13,ROW($A$1:$A$1000)),ROW(4:4)),9),"")</f>
        <v/>
      </c>
      <c r="K20" s="12" t="str">
        <f t="array" ref="K20">IFERROR(INDEX(Encodage!$A$1:$I$1000,SMALL(IF(Encodage!$C$1:$C$1000=$I$13,ROW($A$1:$A$1000)),ROW(4:4)),7),"")</f>
        <v/>
      </c>
      <c r="L20" s="12" t="str">
        <f t="array" ref="L20">IFERROR(INDEX(Encodage!$A$1:$I$1000,SMALL(IF(Encodage!$C$1:$C$1000=$I$13,ROW($A$1:$A$1000)),ROW(4:4)),5),"")</f>
        <v/>
      </c>
      <c r="M20" s="12" t="str">
        <f t="array" ref="M20">IFERROR(VLOOKUP('Facture ou NC'!G20,Listes!A:I,7,0),"")</f>
        <v/>
      </c>
      <c r="N20" s="13" t="str">
        <f t="shared" si="0"/>
        <v/>
      </c>
    </row>
    <row r="21" spans="3:14">
      <c r="C21" s="18" t="s">
        <v>99</v>
      </c>
      <c r="D21" s="18"/>
      <c r="E21" s="18"/>
      <c r="F21" s="18"/>
      <c r="G21" s="16" t="str">
        <f t="array" ref="G21">IFERROR(INDEX(Encodage!$A$1:$I$1000,SMALL(IF(Encodage!$C$1:$C$1000=$I$13,ROW($A$1:$A$1000)),ROW(5:5)),2),"")</f>
        <v/>
      </c>
      <c r="H21" s="12" t="str">
        <f t="array" ref="H21">IFERROR(INDEX(Encodage!$A$1:$I$1000,SMALL(IF(Encodage!$C$1:$C$1000=$I$13,ROW($A$1:$A$1000)),ROW(5:5)),7),"")</f>
        <v/>
      </c>
      <c r="I21" s="12" t="str">
        <f t="array" ref="I21">IFERROR(INDEX(Encodage!$A$1:$I$1000,SMALL(IF(Encodage!$C$1:$C$1000=$I$13,ROW($A$1:$A$1000)),ROW(5:5)),8),"")</f>
        <v/>
      </c>
      <c r="J21" s="12" t="str">
        <f t="array" ref="J21">IFERROR(INDEX(Encodage!$A$1:$I$1000,SMALL(IF(Encodage!$C$1:$C$1000=$I$13,ROW($A$1:$A$1000)),ROW(5:5)),9),"")</f>
        <v/>
      </c>
      <c r="K21" s="12" t="str">
        <f t="array" ref="K21">IFERROR(INDEX(Encodage!$A$1:$I$1000,SMALL(IF(Encodage!$C$1:$C$1000=$I$13,ROW($A$1:$A$1000)),ROW(5:5)),7),"")</f>
        <v/>
      </c>
      <c r="L21" s="12" t="str">
        <f t="array" ref="L21">IFERROR(INDEX(Encodage!$A$1:$I$1000,SMALL(IF(Encodage!$C$1:$C$1000=$I$13,ROW($A$1:$A$1000)),ROW(5:5)),5),"")</f>
        <v/>
      </c>
      <c r="M21" s="12" t="str">
        <f t="array" ref="M21">IFERROR(VLOOKUP('Facture ou NC'!G21,Listes!A:I,7,0),"")</f>
        <v/>
      </c>
      <c r="N21" s="13" t="str">
        <f t="shared" si="0"/>
        <v/>
      </c>
    </row>
    <row r="22" spans="3:14">
      <c r="C22" s="18" t="s">
        <v>100</v>
      </c>
      <c r="D22" s="18"/>
      <c r="E22" s="18"/>
      <c r="F22" s="18"/>
      <c r="G22" s="16" t="str">
        <f t="array" ref="G22">IFERROR(INDEX(Encodage!$A$1:$I$1000,SMALL(IF(Encodage!$C$1:$C$1000=$I$13,ROW($A$1:$A$1000)),ROW(6:6)),2),"")</f>
        <v/>
      </c>
      <c r="H22" s="12" t="str">
        <f t="array" ref="H22">IFERROR(INDEX(Encodage!$A$1:$I$1000,SMALL(IF(Encodage!$C$1:$C$1000=$I$13,ROW($A$1:$A$1000)),ROW(6:6)),7),"")</f>
        <v/>
      </c>
      <c r="I22" s="12" t="str">
        <f t="array" ref="I22">IFERROR(INDEX(Encodage!$A$1:$I$1000,SMALL(IF(Encodage!$C$1:$C$1000=$I$13,ROW($A$1:$A$1000)),ROW(6:6)),8),"")</f>
        <v/>
      </c>
      <c r="J22" s="12" t="str">
        <f t="array" ref="J22">IFERROR(INDEX(Encodage!$A$1:$I$1000,SMALL(IF(Encodage!$C$1:$C$1000=$I$13,ROW($A$1:$A$1000)),ROW(6:6)),9),"")</f>
        <v/>
      </c>
      <c r="K22" s="12" t="str">
        <f t="array" ref="K22">IFERROR(INDEX(Encodage!$A$1:$I$1000,SMALL(IF(Encodage!$C$1:$C$1000=$I$13,ROW($A$1:$A$1000)),ROW(6:6)),7),"")</f>
        <v/>
      </c>
      <c r="L22" s="12" t="str">
        <f t="array" ref="L22">IFERROR(INDEX(Encodage!$A$1:$I$1000,SMALL(IF(Encodage!$C$1:$C$1000=$I$13,ROW($A$1:$A$1000)),ROW(6:6)),5),"")</f>
        <v/>
      </c>
      <c r="M22" s="12" t="str">
        <f t="array" ref="M22">IFERROR(VLOOKUP('Facture ou NC'!G22,Listes!A:I,7,0),"")</f>
        <v/>
      </c>
      <c r="N22" s="13" t="str">
        <f t="shared" si="0"/>
        <v/>
      </c>
    </row>
    <row r="23" spans="3:14">
      <c r="C23" s="19" t="s">
        <v>107</v>
      </c>
      <c r="D23" s="19"/>
      <c r="E23" s="19"/>
      <c r="F23" s="19"/>
      <c r="G23" s="16" t="str">
        <f t="array" ref="G23">IFERROR(INDEX(Encodage!$A$1:$I$1000,SMALL(IF(Encodage!$C$1:$C$1000=$I$13,ROW($A$1:$A$1000)),ROW(7:7)),2),"")</f>
        <v/>
      </c>
      <c r="H23" s="12" t="str">
        <f t="array" ref="H23">IFERROR(INDEX(Encodage!$A$1:$I$1000,SMALL(IF(Encodage!$C$1:$C$1000=$I$13,ROW($A$1:$A$1000)),ROW(7:7)),7),"")</f>
        <v/>
      </c>
      <c r="I23" s="12" t="str">
        <f t="array" ref="I23">IFERROR(INDEX(Encodage!$A$1:$I$1000,SMALL(IF(Encodage!$C$1:$C$1000=$I$13,ROW($A$1:$A$1000)),ROW(7:7)),8),"")</f>
        <v/>
      </c>
      <c r="J23" s="12" t="str">
        <f t="array" ref="J23">IFERROR(INDEX(Encodage!$A$1:$I$1000,SMALL(IF(Encodage!$C$1:$C$1000=$I$13,ROW($A$1:$A$1000)),ROW(7:7)),9),"")</f>
        <v/>
      </c>
      <c r="K23" s="12" t="str">
        <f t="array" ref="K23">IFERROR(INDEX(Encodage!$A$1:$I$1000,SMALL(IF(Encodage!$C$1:$C$1000=$I$13,ROW($A$1:$A$1000)),ROW(7:7)),7),"")</f>
        <v/>
      </c>
      <c r="L23" s="12" t="str">
        <f t="array" ref="L23">IFERROR(INDEX(Encodage!$A$1:$I$1000,SMALL(IF(Encodage!$C$1:$C$1000=$I$13,ROW($A$1:$A$1000)),ROW(7:7)),5),"")</f>
        <v/>
      </c>
      <c r="M23" s="12" t="str">
        <f t="array" ref="M23">IFERROR(VLOOKUP('Facture ou NC'!G23,Listes!A:I,7,0),"")</f>
        <v/>
      </c>
      <c r="N23" s="13" t="str">
        <f t="shared" si="0"/>
        <v/>
      </c>
    </row>
    <row r="24" spans="3:14">
      <c r="C24" s="19" t="s">
        <v>104</v>
      </c>
      <c r="D24" s="19"/>
      <c r="E24" s="19"/>
      <c r="F24" s="19"/>
      <c r="G24" s="16" t="str">
        <f t="array" ref="G24">IFERROR(INDEX(Encodage!$A$1:$I$1000,SMALL(IF(Encodage!$C$1:$C$1000=$I$13,ROW($A$1:$A$1000)),ROW(8:8)),2),"")</f>
        <v/>
      </c>
      <c r="H24" s="12" t="str">
        <f t="array" ref="H24">IFERROR(INDEX(Encodage!$A$1:$I$1000,SMALL(IF(Encodage!$C$1:$C$1000=$I$13,ROW($A$1:$A$1000)),ROW(8:8)),7),"")</f>
        <v/>
      </c>
      <c r="I24" s="12" t="str">
        <f t="array" ref="I24">IFERROR(INDEX(Encodage!$A$1:$I$1000,SMALL(IF(Encodage!$C$1:$C$1000=$I$13,ROW($A$1:$A$1000)),ROW(8:8)),8),"")</f>
        <v/>
      </c>
      <c r="J24" s="12" t="str">
        <f t="array" ref="J24">IFERROR(INDEX(Encodage!$A$1:$I$1000,SMALL(IF(Encodage!$C$1:$C$1000=$I$13,ROW($A$1:$A$1000)),ROW(8:8)),9),"")</f>
        <v/>
      </c>
      <c r="K24" s="12" t="str">
        <f t="array" ref="K24">IFERROR(INDEX(Encodage!$A$1:$I$1000,SMALL(IF(Encodage!$C$1:$C$1000=$I$13,ROW($A$1:$A$1000)),ROW(8:8)),7),"")</f>
        <v/>
      </c>
      <c r="L24" s="12" t="str">
        <f t="array" ref="L24">IFERROR(INDEX(Encodage!$A$1:$I$1000,SMALL(IF(Encodage!$C$1:$C$1000=$I$13,ROW($A$1:$A$1000)),ROW(8:8)),5),"")</f>
        <v/>
      </c>
      <c r="M24" s="12" t="str">
        <f t="array" ref="M24">IFERROR(VLOOKUP('Facture ou NC'!G24,Listes!A:I,7,0),"")</f>
        <v/>
      </c>
      <c r="N24" s="13" t="str">
        <f t="shared" si="0"/>
        <v/>
      </c>
    </row>
    <row r="25" spans="3:14">
      <c r="C25" s="18" t="s">
        <v>105</v>
      </c>
      <c r="D25" s="18"/>
      <c r="E25" s="18"/>
      <c r="F25" s="18"/>
      <c r="G25" s="16" t="str">
        <f t="array" ref="G25">IFERROR(INDEX(Encodage!$A$1:$I$1000,SMALL(IF(Encodage!$C$1:$C$1000=$I$13,ROW($A$1:$A$1000)),ROW(9:9)),2),"")</f>
        <v/>
      </c>
      <c r="H25" s="12" t="str">
        <f t="array" ref="H25">IFERROR(INDEX(Encodage!$A$1:$I$1000,SMALL(IF(Encodage!$C$1:$C$1000=$I$13,ROW($A$1:$A$1000)),ROW(9:9)),7),"")</f>
        <v/>
      </c>
      <c r="I25" s="12" t="str">
        <f t="array" ref="I25">IFERROR(INDEX(Encodage!$A$1:$I$1000,SMALL(IF(Encodage!$C$1:$C$1000=$I$13,ROW($A$1:$A$1000)),ROW(9:9)),8),"")</f>
        <v/>
      </c>
      <c r="J25" s="12" t="str">
        <f t="array" ref="J25">IFERROR(INDEX(Encodage!$A$1:$I$1000,SMALL(IF(Encodage!$C$1:$C$1000=$I$13,ROW($A$1:$A$1000)),ROW(9:9)),9),"")</f>
        <v/>
      </c>
      <c r="K25" s="12" t="str">
        <f t="array" ref="K25">IFERROR(INDEX(Encodage!$A$1:$I$1000,SMALL(IF(Encodage!$C$1:$C$1000=$I$13,ROW($A$1:$A$1000)),ROW(9:9)),7),"")</f>
        <v/>
      </c>
      <c r="L25" s="12" t="str">
        <f t="array" ref="L25">IFERROR(INDEX(Encodage!$A$1:$I$1000,SMALL(IF(Encodage!$C$1:$C$1000=$I$13,ROW($A$1:$A$1000)),ROW(9:9)),5),"")</f>
        <v/>
      </c>
      <c r="M25" s="12" t="str">
        <f t="array" ref="M25">IFERROR(VLOOKUP('Facture ou NC'!G25,Listes!A:I,7,0),"")</f>
        <v/>
      </c>
      <c r="N25" s="13" t="str">
        <f t="shared" si="0"/>
        <v/>
      </c>
    </row>
    <row r="26" spans="3:14">
      <c r="C26" s="18"/>
      <c r="D26" s="18"/>
      <c r="E26" s="18"/>
      <c r="F26" s="18"/>
      <c r="G26" s="16" t="str">
        <f t="array" ref="G26">IFERROR(INDEX(Encodage!$A$1:$I$1000,SMALL(IF(Encodage!$C$1:$C$1000=$I$13,ROW($A$1:$A$1000)),ROW(10:10)),2),"")</f>
        <v/>
      </c>
      <c r="H26" s="12" t="str">
        <f t="array" ref="H26">IFERROR(INDEX(Encodage!$A$1:$I$1000,SMALL(IF(Encodage!$C$1:$C$1000=$I$13,ROW($A$1:$A$1000)),ROW(10:10)),7),"")</f>
        <v/>
      </c>
      <c r="I26" s="12" t="str">
        <f t="array" ref="I26">IFERROR(INDEX(Encodage!$A$1:$I$1000,SMALL(IF(Encodage!$C$1:$C$1000=$I$13,ROW($A$1:$A$1000)),ROW(10:10)),8),"")</f>
        <v/>
      </c>
      <c r="J26" s="12" t="str">
        <f t="array" ref="J26">IFERROR(INDEX(Encodage!$A$1:$I$1000,SMALL(IF(Encodage!$C$1:$C$1000=$I$13,ROW($A$1:$A$1000)),ROW(10:10)),9),"")</f>
        <v/>
      </c>
      <c r="K26" s="12" t="str">
        <f t="array" ref="K26">IFERROR(INDEX(Encodage!$A$1:$I$1000,SMALL(IF(Encodage!$C$1:$C$1000=$I$13,ROW($A$1:$A$1000)),ROW(10:10)),7),"")</f>
        <v/>
      </c>
      <c r="L26" s="12" t="str">
        <f t="array" ref="L26">IFERROR(INDEX(Encodage!$A$1:$I$1000,SMALL(IF(Encodage!$C$1:$C$1000=$I$13,ROW($A$1:$A$1000)),ROW(10:10)),5),"")</f>
        <v/>
      </c>
      <c r="M26" s="12" t="str">
        <f t="array" ref="M26">IFERROR(VLOOKUP('Facture ou NC'!G26,Listes!A:I,7,0),"")</f>
        <v/>
      </c>
      <c r="N26" s="13" t="str">
        <f t="shared" si="0"/>
        <v/>
      </c>
    </row>
    <row r="27" spans="3:14">
      <c r="C27" s="18" t="s">
        <v>101</v>
      </c>
      <c r="D27" s="18"/>
      <c r="E27" s="18"/>
      <c r="F27" s="18"/>
      <c r="G27" s="16" t="str">
        <f t="array" ref="G27">IFERROR(INDEX(Encodage!$A$1:$I$1000,SMALL(IF(Encodage!$C$1:$C$1000=$I$13,ROW($A$1:$A$1000)),ROW(11:11)),2),"")</f>
        <v/>
      </c>
      <c r="H27" s="12" t="str">
        <f t="array" ref="H27">IFERROR(INDEX(Encodage!$A$1:$I$1000,SMALL(IF(Encodage!$C$1:$C$1000=$I$13,ROW($A$1:$A$1000)),ROW(11:11)),7),"")</f>
        <v/>
      </c>
      <c r="I27" s="12" t="str">
        <f t="array" ref="I27">IFERROR(INDEX(Encodage!$A$1:$I$1000,SMALL(IF(Encodage!$C$1:$C$1000=$I$13,ROW($A$1:$A$1000)),ROW(11:11)),8),"")</f>
        <v/>
      </c>
      <c r="J27" s="12" t="str">
        <f t="array" ref="J27">IFERROR(INDEX(Encodage!$A$1:$I$1000,SMALL(IF(Encodage!$C$1:$C$1000=$I$13,ROW($A$1:$A$1000)),ROW(11:11)),9),"")</f>
        <v/>
      </c>
      <c r="K27" s="12" t="str">
        <f t="array" ref="K27">IFERROR(INDEX(Encodage!$A$1:$I$1000,SMALL(IF(Encodage!$C$1:$C$1000=$I$13,ROW($A$1:$A$1000)),ROW(11:11)),7),"")</f>
        <v/>
      </c>
      <c r="L27" s="12" t="str">
        <f t="array" ref="L27">IFERROR(INDEX(Encodage!$A$1:$I$1000,SMALL(IF(Encodage!$C$1:$C$1000=$I$13,ROW($A$1:$A$1000)),ROW(11:11)),5),"")</f>
        <v/>
      </c>
      <c r="M27" s="12" t="str">
        <f t="array" ref="M27">IFERROR(VLOOKUP('Facture ou NC'!G27,Listes!A:I,7,0),"")</f>
        <v/>
      </c>
      <c r="N27" s="13" t="str">
        <f t="shared" si="0"/>
        <v/>
      </c>
    </row>
    <row r="28" spans="3:14">
      <c r="C28" s="18" t="s">
        <v>106</v>
      </c>
      <c r="D28" s="18"/>
      <c r="E28" s="18"/>
      <c r="F28" s="18"/>
      <c r="G28" s="16" t="str">
        <f t="array" ref="G28">IFERROR(INDEX(Encodage!$A$1:$I$1000,SMALL(IF(Encodage!$C$1:$C$1000=$I$13,ROW($A$1:$A$1000)),ROW(12:12)),2),"")</f>
        <v/>
      </c>
      <c r="H28" s="12" t="str">
        <f t="array" ref="H28">IFERROR(INDEX(Encodage!$A$1:$I$1000,SMALL(IF(Encodage!$C$1:$C$1000=$I$13,ROW($A$1:$A$1000)),ROW(12:12)),7),"")</f>
        <v/>
      </c>
      <c r="I28" s="12" t="str">
        <f t="array" ref="I28">IFERROR(INDEX(Encodage!$A$1:$I$1000,SMALL(IF(Encodage!$C$1:$C$1000=$I$13,ROW($A$1:$A$1000)),ROW(12:12)),8),"")</f>
        <v/>
      </c>
      <c r="J28" s="12" t="str">
        <f t="array" ref="J28">IFERROR(INDEX(Encodage!$A$1:$I$1000,SMALL(IF(Encodage!$C$1:$C$1000=$I$13,ROW($A$1:$A$1000)),ROW(12:12)),9),"")</f>
        <v/>
      </c>
      <c r="K28" s="12" t="str">
        <f t="array" ref="K28">IFERROR(INDEX(Encodage!$A$1:$I$1000,SMALL(IF(Encodage!$C$1:$C$1000=$I$13,ROW($A$1:$A$1000)),ROW(12:12)),7),"")</f>
        <v/>
      </c>
      <c r="L28" s="12" t="str">
        <f t="array" ref="L28">IFERROR(INDEX(Encodage!$A$1:$I$1000,SMALL(IF(Encodage!$C$1:$C$1000=$I$13,ROW($A$1:$A$1000)),ROW(12:12)),5),"")</f>
        <v/>
      </c>
      <c r="M28" s="12" t="str">
        <f t="array" ref="M28">IFERROR(VLOOKUP('Facture ou NC'!G28,Listes!A:I,7,0),"")</f>
        <v/>
      </c>
      <c r="N28" s="13" t="str">
        <f t="shared" si="0"/>
        <v/>
      </c>
    </row>
    <row r="29" spans="3:14">
      <c r="C29" s="18"/>
      <c r="D29" s="18"/>
      <c r="E29" s="18"/>
      <c r="F29" s="18"/>
      <c r="G29" s="16" t="str">
        <f t="array" ref="G29">IFERROR(INDEX(Encodage!$A$1:$I$1000,SMALL(IF(Encodage!$C$1:$C$1000=$I$13,ROW($A$1:$A$1000)),ROW(13:13)),2),"")</f>
        <v/>
      </c>
      <c r="H29" s="12" t="str">
        <f t="array" ref="H29">IFERROR(INDEX(Encodage!$A$1:$I$1000,SMALL(IF(Encodage!$C$1:$C$1000=$I$13,ROW($A$1:$A$1000)),ROW(13:13)),7),"")</f>
        <v/>
      </c>
      <c r="I29" s="12" t="str">
        <f t="array" ref="I29">IFERROR(INDEX(Encodage!$A$1:$I$1000,SMALL(IF(Encodage!$C$1:$C$1000=$I$13,ROW($A$1:$A$1000)),ROW(13:13)),8),"")</f>
        <v/>
      </c>
      <c r="J29" s="12" t="str">
        <f t="array" ref="J29">IFERROR(INDEX(Encodage!$A$1:$I$1000,SMALL(IF(Encodage!$C$1:$C$1000=$I$13,ROW($A$1:$A$1000)),ROW(13:13)),9),"")</f>
        <v/>
      </c>
      <c r="K29" s="12" t="str">
        <f t="array" ref="K29">IFERROR(INDEX(Encodage!$A$1:$I$1000,SMALL(IF(Encodage!$C$1:$C$1000=$I$13,ROW($A$1:$A$1000)),ROW(13:13)),7),"")</f>
        <v/>
      </c>
      <c r="L29" s="12" t="str">
        <f t="array" ref="L29">IFERROR(INDEX(Encodage!$A$1:$I$1000,SMALL(IF(Encodage!$C$1:$C$1000=$I$13,ROW($A$1:$A$1000)),ROW(13:13)),5),"")</f>
        <v/>
      </c>
      <c r="M29" s="12" t="str">
        <f t="array" ref="M29">IFERROR(VLOOKUP('Facture ou NC'!G29,Listes!A:I,7,0),"")</f>
        <v/>
      </c>
      <c r="N29" s="13" t="str">
        <f t="shared" si="0"/>
        <v/>
      </c>
    </row>
    <row r="30" spans="3:14">
      <c r="C30" s="18" t="s">
        <v>103</v>
      </c>
      <c r="G30" s="16" t="str">
        <f t="array" ref="G30">IFERROR(INDEX(Encodage!$A$1:$I$1000,SMALL(IF(Encodage!$C$1:$C$1000=$I$13,ROW($A$1:$A$1000)),ROW(14:14)),2),"")</f>
        <v/>
      </c>
      <c r="H30" s="12" t="str">
        <f t="array" ref="H30">IFERROR(INDEX(Encodage!$A$1:$I$1000,SMALL(IF(Encodage!$C$1:$C$1000=$I$13,ROW($A$1:$A$1000)),ROW(14:14)),7),"")</f>
        <v/>
      </c>
      <c r="I30" s="12" t="str">
        <f t="array" ref="I30">IFERROR(INDEX(Encodage!$A$1:$I$1000,SMALL(IF(Encodage!$C$1:$C$1000=$I$13,ROW($A$1:$A$1000)),ROW(14:14)),8),"")</f>
        <v/>
      </c>
      <c r="J30" s="12" t="str">
        <f t="array" ref="J30">IFERROR(INDEX(Encodage!$A$1:$I$1000,SMALL(IF(Encodage!$C$1:$C$1000=$I$13,ROW($A$1:$A$1000)),ROW(14:14)),9),"")</f>
        <v/>
      </c>
      <c r="K30" s="12" t="str">
        <f t="array" ref="K30">IFERROR(INDEX(Encodage!$A$1:$I$1000,SMALL(IF(Encodage!$C$1:$C$1000=$I$13,ROW($A$1:$A$1000)),ROW(14:14)),7),"")</f>
        <v/>
      </c>
      <c r="L30" s="12" t="str">
        <f t="array" ref="L30">IFERROR(INDEX(Encodage!$A$1:$I$1000,SMALL(IF(Encodage!$C$1:$C$1000=$I$13,ROW($A$1:$A$1000)),ROW(14:14)),5),"")</f>
        <v/>
      </c>
      <c r="M30" s="12" t="str">
        <f t="array" ref="M30">IFERROR(VLOOKUP('Facture ou NC'!G30,Listes!A:I,7,0),"")</f>
        <v/>
      </c>
      <c r="N30" s="13" t="str">
        <f t="shared" si="0"/>
        <v/>
      </c>
    </row>
    <row r="31" spans="3:14">
      <c r="C31" s="18" t="s">
        <v>102</v>
      </c>
      <c r="G31" s="16" t="str">
        <f t="array" ref="G31">IFERROR(INDEX(Encodage!$A$1:$I$1000,SMALL(IF(Encodage!$C$1:$C$1000=$I$13,ROW($A$1:$A$1000)),ROW(15:15)),2),"")</f>
        <v/>
      </c>
      <c r="H31" s="12" t="str">
        <f t="array" ref="H31">IFERROR(INDEX(Encodage!$A$1:$I$1000,SMALL(IF(Encodage!$C$1:$C$1000=$I$13,ROW($A$1:$A$1000)),ROW(15:15)),7),"")</f>
        <v/>
      </c>
      <c r="I31" s="12" t="str">
        <f t="array" ref="I31">IFERROR(INDEX(Encodage!$A$1:$I$1000,SMALL(IF(Encodage!$C$1:$C$1000=$I$13,ROW($A$1:$A$1000)),ROW(15:15)),8),"")</f>
        <v/>
      </c>
      <c r="J31" s="12" t="str">
        <f t="array" ref="J31">IFERROR(INDEX(Encodage!$A$1:$I$1000,SMALL(IF(Encodage!$C$1:$C$1000=$I$13,ROW($A$1:$A$1000)),ROW(15:15)),9),"")</f>
        <v/>
      </c>
      <c r="K31" s="12" t="str">
        <f t="array" ref="K31">IFERROR(INDEX(Encodage!$A$1:$I$1000,SMALL(IF(Encodage!$C$1:$C$1000=$I$13,ROW($A$1:$A$1000)),ROW(15:15)),7),"")</f>
        <v/>
      </c>
      <c r="L31" s="12" t="str">
        <f t="array" ref="L31">IFERROR(INDEX(Encodage!$A$1:$I$1000,SMALL(IF(Encodage!$C$1:$C$1000=$I$13,ROW($A$1:$A$1000)),ROW(15:15)),5),"")</f>
        <v/>
      </c>
      <c r="M31" s="12" t="str">
        <f t="array" ref="M31">IFERROR(VLOOKUP('Facture ou NC'!G31,Listes!A:I,7,0),"")</f>
        <v/>
      </c>
      <c r="N31" s="13" t="str">
        <f t="shared" si="0"/>
        <v/>
      </c>
    </row>
    <row r="32" spans="3:14">
      <c r="C32" s="18"/>
    </row>
    <row r="33" spans="3:3">
      <c r="C33" s="18" t="s">
        <v>108</v>
      </c>
    </row>
  </sheetData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Listes</vt:lpstr>
      <vt:lpstr>Encodage</vt:lpstr>
      <vt:lpstr>Inventaire</vt:lpstr>
      <vt:lpstr>Facture ou NC</vt:lpstr>
      <vt:lpstr>Produits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CCO_01</cp:lastModifiedBy>
  <cp:lastPrinted>2017-06-27T10:29:21Z</cp:lastPrinted>
  <dcterms:created xsi:type="dcterms:W3CDTF">2017-06-27T10:03:10Z</dcterms:created>
  <dcterms:modified xsi:type="dcterms:W3CDTF">2017-06-28T09:40:39Z</dcterms:modified>
</cp:coreProperties>
</file>