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4 - Ensemble en France\CA\2017\"/>
    </mc:Choice>
  </mc:AlternateContent>
  <bookViews>
    <workbookView xWindow="0" yWindow="0" windowWidth="19200" windowHeight="6950"/>
  </bookViews>
  <sheets>
    <sheet name="CA" sheetId="1" r:id="rId1"/>
    <sheet name="CA par activité" sheetId="2" r:id="rId2"/>
    <sheet name="Lumick" sheetId="7" r:id="rId3"/>
    <sheet name="Ben-Pro" sheetId="8" r:id="rId4"/>
    <sheet name="Miss Vache" sheetId="9" r:id="rId5"/>
    <sheet name="Autre" sheetId="10" r:id="rId6"/>
  </sheets>
  <calcPr calcId="162913"/>
</workbook>
</file>

<file path=xl/calcChain.xml><?xml version="1.0" encoding="utf-8"?>
<calcChain xmlns="http://schemas.openxmlformats.org/spreadsheetml/2006/main">
  <c r="B11" i="2" l="1"/>
  <c r="B7" i="2"/>
  <c r="B2" i="2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68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50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34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18" i="1"/>
  <c r="A116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00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85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67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52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37" i="1"/>
  <c r="A24" i="1"/>
  <c r="A25" i="1"/>
  <c r="A26" i="1"/>
  <c r="A27" i="1"/>
  <c r="A28" i="1"/>
  <c r="A29" i="1"/>
  <c r="A30" i="1"/>
  <c r="A31" i="1"/>
  <c r="A32" i="1"/>
  <c r="A33" i="1"/>
  <c r="A34" i="1"/>
  <c r="A35" i="1"/>
  <c r="A23" i="1"/>
  <c r="A21" i="1"/>
  <c r="A12" i="1"/>
  <c r="A13" i="1"/>
  <c r="A14" i="1"/>
  <c r="E13" i="2" s="1"/>
  <c r="A15" i="1"/>
  <c r="A16" i="1"/>
  <c r="E2" i="2" s="1"/>
  <c r="A17" i="1"/>
  <c r="A18" i="1"/>
  <c r="A19" i="1"/>
  <c r="A20" i="1"/>
  <c r="A11" i="1"/>
  <c r="A9" i="1"/>
  <c r="A3" i="1"/>
  <c r="A4" i="1"/>
  <c r="C10" i="2" s="1"/>
  <c r="A5" i="1"/>
  <c r="D13" i="2" s="1"/>
  <c r="A6" i="1"/>
  <c r="A7" i="1"/>
  <c r="B13" i="2" s="1"/>
  <c r="A8" i="1"/>
  <c r="D6" i="2" s="1"/>
  <c r="A2" i="1"/>
  <c r="C13" i="2" s="1"/>
  <c r="K182" i="1"/>
  <c r="I182" i="1"/>
  <c r="H182" i="1"/>
  <c r="G182" i="1"/>
  <c r="K167" i="1"/>
  <c r="I167" i="1"/>
  <c r="H167" i="1"/>
  <c r="G167" i="1"/>
  <c r="K149" i="1"/>
  <c r="I149" i="1"/>
  <c r="H149" i="1"/>
  <c r="G149" i="1"/>
  <c r="K133" i="1"/>
  <c r="I133" i="1"/>
  <c r="H133" i="1"/>
  <c r="G133" i="1"/>
  <c r="K117" i="1"/>
  <c r="I117" i="1"/>
  <c r="H117" i="1"/>
  <c r="G117" i="1"/>
  <c r="K99" i="1"/>
  <c r="I99" i="1"/>
  <c r="H99" i="1"/>
  <c r="G99" i="1"/>
  <c r="K84" i="1"/>
  <c r="I84" i="1"/>
  <c r="H84" i="1"/>
  <c r="G84" i="1"/>
  <c r="K66" i="1"/>
  <c r="I66" i="1"/>
  <c r="H66" i="1"/>
  <c r="G66" i="1"/>
  <c r="K51" i="1"/>
  <c r="I51" i="1"/>
  <c r="H51" i="1"/>
  <c r="G51" i="1"/>
  <c r="K36" i="1"/>
  <c r="I36" i="1"/>
  <c r="H36" i="1"/>
  <c r="G36" i="1"/>
  <c r="K22" i="1"/>
  <c r="I22" i="1"/>
  <c r="H22" i="1"/>
  <c r="G22" i="1"/>
  <c r="K10" i="1"/>
  <c r="K183" i="1" s="1"/>
  <c r="I10" i="1"/>
  <c r="I183" i="1" s="1"/>
  <c r="H10" i="1"/>
  <c r="H183" i="1" s="1"/>
  <c r="G10" i="1"/>
  <c r="G183" i="1" s="1"/>
  <c r="C6" i="2" l="1"/>
  <c r="E10" i="2"/>
  <c r="D2" i="2"/>
  <c r="E6" i="2"/>
  <c r="F11" i="2"/>
  <c r="F9" i="2"/>
  <c r="F3" i="2"/>
  <c r="F8" i="2"/>
  <c r="F10" i="2"/>
  <c r="F7" i="2"/>
  <c r="F2" i="2"/>
  <c r="F12" i="2"/>
  <c r="F13" i="2"/>
  <c r="G13" i="2" s="1"/>
  <c r="F6" i="2"/>
  <c r="F5" i="2"/>
  <c r="F4" i="2"/>
  <c r="B4" i="2"/>
  <c r="B8" i="2"/>
  <c r="B12" i="2"/>
  <c r="C3" i="2"/>
  <c r="C7" i="2"/>
  <c r="G7" i="2" s="1"/>
  <c r="C11" i="2"/>
  <c r="D3" i="2"/>
  <c r="D7" i="2"/>
  <c r="D11" i="2"/>
  <c r="E3" i="2"/>
  <c r="E14" i="2" s="1"/>
  <c r="E7" i="2"/>
  <c r="E11" i="2"/>
  <c r="C2" i="2"/>
  <c r="D10" i="2"/>
  <c r="B5" i="2"/>
  <c r="B9" i="2"/>
  <c r="B3" i="2"/>
  <c r="G3" i="2" s="1"/>
  <c r="C4" i="2"/>
  <c r="C8" i="2"/>
  <c r="C12" i="2"/>
  <c r="D4" i="2"/>
  <c r="D8" i="2"/>
  <c r="D12" i="2"/>
  <c r="E4" i="2"/>
  <c r="E8" i="2"/>
  <c r="E12" i="2"/>
  <c r="G11" i="2"/>
  <c r="B6" i="2"/>
  <c r="G6" i="2" s="1"/>
  <c r="B10" i="2"/>
  <c r="G10" i="2" s="1"/>
  <c r="C5" i="2"/>
  <c r="C9" i="2"/>
  <c r="D5" i="2"/>
  <c r="D9" i="2"/>
  <c r="E5" i="2"/>
  <c r="E9" i="2"/>
  <c r="G5" i="2" l="1"/>
  <c r="G12" i="2"/>
  <c r="F14" i="2"/>
  <c r="D14" i="2"/>
  <c r="G8" i="2"/>
  <c r="B14" i="2"/>
  <c r="G14" i="2" s="1"/>
  <c r="C14" i="2"/>
  <c r="G4" i="2"/>
  <c r="G2" i="2"/>
  <c r="G9" i="2"/>
</calcChain>
</file>

<file path=xl/sharedStrings.xml><?xml version="1.0" encoding="utf-8"?>
<sst xmlns="http://schemas.openxmlformats.org/spreadsheetml/2006/main" count="206" uniqueCount="115">
  <si>
    <t>4110MORV</t>
  </si>
  <si>
    <t>HOPITAL DE MORVAN</t>
  </si>
  <si>
    <t>Service de Radiologie</t>
  </si>
  <si>
    <t>4110CHUR</t>
  </si>
  <si>
    <t>CENTRE HOSPITALIER UNIVERS. RENNES</t>
  </si>
  <si>
    <t>DT366033</t>
  </si>
  <si>
    <t>4110INNO</t>
  </si>
  <si>
    <t>INNOVEO / CHRU DE BREST</t>
  </si>
  <si>
    <t>4110LAMB</t>
  </si>
  <si>
    <t>LAMBERET SAS</t>
  </si>
  <si>
    <t>N° comm. achat: 4500255367</t>
  </si>
  <si>
    <t>4110SADE</t>
  </si>
  <si>
    <t>SADELA</t>
  </si>
  <si>
    <t>Comm. N° 7176</t>
  </si>
  <si>
    <t>4110HANS</t>
  </si>
  <si>
    <t>HANSKAMP AGROTECH BV</t>
  </si>
  <si>
    <t>4110CANE</t>
  </si>
  <si>
    <t>CHAUDRONNERIE INOX CANET</t>
  </si>
  <si>
    <t>Commande par tél. du 13/01/2016</t>
  </si>
  <si>
    <t>Achat N° 4500259013</t>
  </si>
  <si>
    <t>Date</t>
  </si>
  <si>
    <t>Client</t>
  </si>
  <si>
    <t>Raison sociale</t>
  </si>
  <si>
    <t>Montant HT</t>
  </si>
  <si>
    <t>Port HT</t>
  </si>
  <si>
    <t>TVA / TPF</t>
  </si>
  <si>
    <t>Total TTC</t>
  </si>
  <si>
    <t>Hanskamp</t>
  </si>
  <si>
    <t>Lumick</t>
  </si>
  <si>
    <t>Ben-Pro</t>
  </si>
  <si>
    <t>Miss Vache</t>
  </si>
  <si>
    <t>4110BRES</t>
  </si>
  <si>
    <t>ASSOCIATION BREST CANCER</t>
  </si>
  <si>
    <t>Service de radiologie CHRU BREST</t>
  </si>
  <si>
    <t>4110ISSY</t>
  </si>
  <si>
    <t>Bergerie d’Issy</t>
  </si>
  <si>
    <t>Demande par mail le 09/12/2016</t>
  </si>
  <si>
    <t>4110MUCA</t>
  </si>
  <si>
    <t>Musée du Camembert</t>
  </si>
  <si>
    <t>Demande par mail le 27/05/2016</t>
  </si>
  <si>
    <t>4110SOUB</t>
  </si>
  <si>
    <t>SOUBRIER BESSE ELEVAGE</t>
  </si>
  <si>
    <t>Demande par téléphone du 30/01/17</t>
  </si>
  <si>
    <t>4110PEUP</t>
  </si>
  <si>
    <t>FERME DES PEUPLIERS</t>
  </si>
  <si>
    <t>4110FEDE</t>
  </si>
  <si>
    <t>Ferme des Délices&amp;Délices Foréziens</t>
  </si>
  <si>
    <t>4110TMS</t>
  </si>
  <si>
    <t>TOLERIE MECHANIQUE SERVICE</t>
  </si>
  <si>
    <t>Comm. N°7538</t>
  </si>
  <si>
    <t>4010JUME</t>
  </si>
  <si>
    <t>LA JUMENTERIE</t>
  </si>
  <si>
    <t>DT381468</t>
  </si>
  <si>
    <t>4110NALO</t>
  </si>
  <si>
    <t>Domaine de Nalou</t>
  </si>
  <si>
    <t>Demande par mail du 20/02/17</t>
  </si>
  <si>
    <t>4110ACTI</t>
  </si>
  <si>
    <t>ACTIBURO</t>
  </si>
  <si>
    <t>4110CHSF</t>
  </si>
  <si>
    <t>CENTRE HOSPITALIER SUD FRANCILIEN</t>
  </si>
  <si>
    <t>Devis 0738L-AFB-2017</t>
  </si>
  <si>
    <t>4110FANT</t>
  </si>
  <si>
    <t>M. Dominique FANTINI</t>
  </si>
  <si>
    <t>Demande par mail du 12/12/2016</t>
  </si>
  <si>
    <t>4110CLAU</t>
  </si>
  <si>
    <t>Ets CLAUX et FILS</t>
  </si>
  <si>
    <t>Comm. n° 021346 du 01/03/17</t>
  </si>
  <si>
    <t>4110SOCL</t>
  </si>
  <si>
    <t>SOCLAM</t>
  </si>
  <si>
    <t>N° Commande 96066A</t>
  </si>
  <si>
    <t>Cde N°96112A</t>
  </si>
  <si>
    <t>MV</t>
  </si>
  <si>
    <t>N°</t>
  </si>
  <si>
    <t>Frssr</t>
  </si>
  <si>
    <t xml:space="preserve"> </t>
  </si>
  <si>
    <t>Mois</t>
  </si>
  <si>
    <t>Total février</t>
  </si>
  <si>
    <t>Total janvier</t>
  </si>
  <si>
    <t>Total général</t>
  </si>
  <si>
    <t>Total mars</t>
  </si>
  <si>
    <t>Réf. pièce</t>
  </si>
  <si>
    <t>Net HT</t>
  </si>
  <si>
    <t>LUM</t>
  </si>
  <si>
    <t>BP</t>
  </si>
  <si>
    <t>HK</t>
  </si>
  <si>
    <t>4110LACT</t>
  </si>
  <si>
    <t>Lactalis Belgique SA</t>
  </si>
  <si>
    <t>Demande par mail du 21/02/2017</t>
  </si>
  <si>
    <t>Cde N°4500266114</t>
  </si>
  <si>
    <t>DT388763</t>
  </si>
  <si>
    <t>Total avril</t>
  </si>
  <si>
    <t>Total mai</t>
  </si>
  <si>
    <t>Total juin</t>
  </si>
  <si>
    <t>Total juillet</t>
  </si>
  <si>
    <t>Total aout</t>
  </si>
  <si>
    <t>Total septembre</t>
  </si>
  <si>
    <t>Total octobre</t>
  </si>
  <si>
    <t>Total novembre</t>
  </si>
  <si>
    <t>Total décembre</t>
  </si>
  <si>
    <t>Janv</t>
  </si>
  <si>
    <t>Févr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</si>
  <si>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</si>
  <si>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</si>
  <si>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</si>
  <si>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</si>
  <si>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</si>
  <si>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</si>
  <si>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</si>
  <si>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</si>
  <si>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</si>
  <si>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</si>
  <si>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Autre</t>
  </si>
  <si>
    <t>TOTAL ANNEE</t>
  </si>
  <si>
    <t>TOTAL MOIS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</si>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</sst>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/mm/yy;@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303030"/>
      <name val="Calibri"/>
      <family val="2"/>
      <scheme val="minor"/>
    </font>
    <font>
      <b/>
      <sz val="11"/>
      <color rgb="FF30303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164" fontId="1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8" fillId="0" borderId="0" xfId="0" applyNumberFormat="1" applyFont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center" vertical="center"/>
      <protection locked="0"/>
    </xf>
    <xf numFmtId="164" fontId="11" fillId="0" borderId="0" xfId="0" applyNumberFormat="1" applyFont="1" applyAlignment="1" applyProtection="1">
      <alignment vertical="center"/>
      <protection locked="0"/>
    </xf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4" xfId="0" applyNumberFormat="1" applyFont="1" applyBorder="1" applyAlignment="1" applyProtection="1">
      <alignment horizontal="center" vertical="center"/>
      <protection locked="0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165" fontId="11" fillId="2" borderId="4" xfId="0" applyNumberFormat="1" applyFont="1" applyFill="1" applyBorder="1" applyAlignment="1" applyProtection="1">
      <alignment horizontal="center" vertical="center"/>
      <protection locked="0"/>
    </xf>
    <xf numFmtId="165" fontId="11" fillId="0" borderId="4" xfId="0" applyNumberFormat="1" applyFont="1" applyBorder="1" applyAlignment="1">
      <alignment horizontal="center" vertical="center"/>
    </xf>
    <xf numFmtId="165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3" fillId="0" borderId="0" xfId="0" applyNumberFormat="1" applyFont="1" applyAlignment="1" applyProtection="1">
      <alignment horizontal="left" vertical="center"/>
      <protection locked="0"/>
    </xf>
    <xf numFmtId="0" fontId="2" fillId="0" borderId="0" xfId="0" applyNumberFormat="1" applyFont="1" applyAlignment="1" applyProtection="1">
      <alignment horizontal="left" vertical="center"/>
      <protection locked="0"/>
    </xf>
    <xf numFmtId="0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4" fillId="0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NumberFormat="1" applyFont="1" applyFill="1" applyBorder="1" applyAlignment="1" applyProtection="1">
      <alignment horizontal="left" vertical="center"/>
      <protection locked="0"/>
    </xf>
    <xf numFmtId="0" fontId="7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NumberFormat="1" applyFont="1" applyFill="1" applyBorder="1" applyAlignment="1" applyProtection="1">
      <alignment horizontal="center" vertical="center"/>
      <protection locked="0"/>
    </xf>
    <xf numFmtId="164" fontId="6" fillId="2" borderId="9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 vertical="center"/>
    </xf>
    <xf numFmtId="165" fontId="0" fillId="2" borderId="4" xfId="0" applyNumberFormat="1" applyFont="1" applyFill="1" applyBorder="1" applyAlignment="1" applyProtection="1">
      <alignment horizontal="center" vertical="center"/>
      <protection locked="0"/>
    </xf>
    <xf numFmtId="4" fontId="6" fillId="2" borderId="9" xfId="0" applyNumberFormat="1" applyFont="1" applyFill="1" applyBorder="1" applyAlignment="1" applyProtection="1">
      <alignment horizontal="center" vertical="center"/>
      <protection locked="0"/>
    </xf>
    <xf numFmtId="4" fontId="6" fillId="2" borderId="10" xfId="0" applyNumberFormat="1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2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2" xfId="0" applyNumberFormat="1" applyFont="1" applyBorder="1" applyAlignment="1" applyProtection="1">
      <alignment horizontal="right" vertical="center"/>
      <protection locked="0"/>
    </xf>
    <xf numFmtId="4" fontId="7" fillId="2" borderId="0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 applyAlignment="1" applyProtection="1">
      <alignment horizontal="right" vertical="center"/>
      <protection locked="0"/>
    </xf>
    <xf numFmtId="4" fontId="0" fillId="0" borderId="2" xfId="0" applyNumberFormat="1" applyBorder="1" applyAlignment="1" applyProtection="1">
      <alignment horizontal="right" vertical="center"/>
      <protection locked="0"/>
    </xf>
    <xf numFmtId="4" fontId="6" fillId="2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Alignment="1" applyProtection="1">
      <alignment horizontal="right"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4" fillId="2" borderId="0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" fontId="11" fillId="0" borderId="0" xfId="0" applyNumberFormat="1" applyFont="1" applyAlignment="1" applyProtection="1">
      <alignment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Alignment="1" applyProtection="1">
      <alignment vertical="center"/>
      <protection locked="0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164" fontId="9" fillId="0" borderId="11" xfId="0" applyNumberFormat="1" applyFont="1" applyBorder="1" applyAlignment="1" applyProtection="1">
      <alignment horizontal="center" vertical="center"/>
      <protection locked="0"/>
    </xf>
    <xf numFmtId="164" fontId="7" fillId="0" borderId="11" xfId="0" applyNumberFormat="1" applyFont="1" applyBorder="1" applyAlignment="1" applyProtection="1">
      <alignment horizontal="center" vertical="center"/>
      <protection locked="0"/>
    </xf>
    <xf numFmtId="164" fontId="12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164" fontId="4" fillId="2" borderId="14" xfId="0" applyNumberFormat="1" applyFont="1" applyFill="1" applyBorder="1" applyAlignment="1" applyProtection="1">
      <alignment vertical="center"/>
      <protection locked="0"/>
    </xf>
    <xf numFmtId="4" fontId="4" fillId="2" borderId="15" xfId="0" applyNumberFormat="1" applyFont="1" applyFill="1" applyBorder="1" applyAlignment="1">
      <alignment vertical="center"/>
    </xf>
    <xf numFmtId="164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20">
    <dxf>
      <font>
        <strike val="0"/>
        <color rgb="FF00B050"/>
      </font>
    </dxf>
    <dxf>
      <font>
        <strike val="0"/>
        <color rgb="FF0070C0"/>
      </font>
    </dxf>
    <dxf>
      <font>
        <strike val="0"/>
        <color theme="9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0070C0"/>
      </font>
    </dxf>
    <dxf>
      <font>
        <strike val="0"/>
        <color theme="9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0070C0"/>
      </font>
    </dxf>
    <dxf>
      <font>
        <strike val="0"/>
        <color theme="9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0070C0"/>
      </font>
    </dxf>
    <dxf>
      <font>
        <strike val="0"/>
        <color theme="9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0070C0"/>
      </font>
    </dxf>
    <dxf>
      <font>
        <strike val="0"/>
        <color theme="9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outlinePr summaryRight="0"/>
  </sheetPr>
  <dimension ref="A1:R183"/>
  <sheetViews>
    <sheetView tabSelected="1" zoomScaleNormal="100" workbookViewId="0">
      <selection activeCell="M15" sqref="M15"/>
    </sheetView>
  </sheetViews>
  <sheetFormatPr baseColWidth="10" defaultColWidth="11.453125" defaultRowHeight="14.5" outlineLevelRow="2" x14ac:dyDescent="0.35"/>
  <cols>
    <col min="1" max="1" width="5.7265625" style="36" customWidth="1"/>
    <col min="2" max="2" width="9" style="23" customWidth="1"/>
    <col min="3" max="3" width="5.26953125" style="11" customWidth="1"/>
    <col min="4" max="4" width="10.54296875" style="42" bestFit="1" customWidth="1"/>
    <col min="5" max="5" width="26.26953125" style="42" customWidth="1"/>
    <col min="6" max="6" width="27.1796875" style="42" customWidth="1"/>
    <col min="7" max="11" width="10.54296875" style="87" customWidth="1"/>
    <col min="12" max="12" width="5" style="11" customWidth="1"/>
    <col min="13" max="17" width="11.453125" style="1"/>
    <col min="18" max="18" width="11.81640625" style="1" bestFit="1" customWidth="1"/>
    <col min="19" max="16384" width="11.453125" style="1"/>
  </cols>
  <sheetData>
    <row r="1" spans="1:18" s="12" customFormat="1" x14ac:dyDescent="0.35">
      <c r="A1" s="65" t="s">
        <v>75</v>
      </c>
      <c r="B1" s="66" t="s">
        <v>20</v>
      </c>
      <c r="C1" s="67" t="s">
        <v>72</v>
      </c>
      <c r="D1" s="67" t="s">
        <v>21</v>
      </c>
      <c r="E1" s="67" t="s">
        <v>22</v>
      </c>
      <c r="F1" s="68" t="s">
        <v>80</v>
      </c>
      <c r="G1" s="72" t="s">
        <v>23</v>
      </c>
      <c r="H1" s="72" t="s">
        <v>24</v>
      </c>
      <c r="I1" s="72" t="s">
        <v>81</v>
      </c>
      <c r="J1" s="72" t="s">
        <v>25</v>
      </c>
      <c r="K1" s="73" t="s">
        <v>26</v>
      </c>
      <c r="L1" s="69" t="s">
        <v>73</v>
      </c>
      <c r="N1" s="13"/>
      <c r="O1" s="14"/>
      <c r="P1" s="15"/>
      <c r="Q1" s="16"/>
    </row>
    <row r="2" spans="1:18" s="4" customFormat="1" ht="15.5" outlineLevel="2" x14ac:dyDescent="0.35">
      <c r="A2" s="70" t="str">
        <f>CHOOSE(MONTH(B2),"Janv","Févr","Mars","Avril","Mai","Juin","Juill","Aout","Sept","Oct","Nov","Déc")</f>
        <v>Janv</v>
      </c>
      <c r="B2" s="33">
        <v>42737</v>
      </c>
      <c r="C2" s="17">
        <v>6</v>
      </c>
      <c r="D2" s="37" t="s">
        <v>0</v>
      </c>
      <c r="E2" s="37" t="s">
        <v>1</v>
      </c>
      <c r="F2" s="37" t="s">
        <v>2</v>
      </c>
      <c r="G2" s="74">
        <v>-2184</v>
      </c>
      <c r="H2" s="74">
        <v>0</v>
      </c>
      <c r="I2" s="74">
        <v>-2184</v>
      </c>
      <c r="J2" s="74">
        <v>-436.8</v>
      </c>
      <c r="K2" s="75">
        <v>-2620.8000000000002</v>
      </c>
      <c r="L2" s="26" t="s">
        <v>82</v>
      </c>
      <c r="N2" s="2"/>
      <c r="O2" s="5"/>
      <c r="P2" s="3"/>
      <c r="R2" s="6"/>
    </row>
    <row r="3" spans="1:18" s="4" customFormat="1" outlineLevel="2" x14ac:dyDescent="0.35">
      <c r="A3" s="70" t="str">
        <f t="shared" ref="A3:A8" si="0">CHOOSE(MONTH(B3),"Janv","Févr","Mars","Avril","Mai","Juin","Juill","Aout","Sept","Oct","Nov","Déc")</f>
        <v>Janv</v>
      </c>
      <c r="B3" s="33">
        <v>42737</v>
      </c>
      <c r="C3" s="17">
        <v>127</v>
      </c>
      <c r="D3" s="37" t="s">
        <v>3</v>
      </c>
      <c r="E3" s="37" t="s">
        <v>4</v>
      </c>
      <c r="F3" s="37" t="s">
        <v>5</v>
      </c>
      <c r="G3" s="74">
        <v>4570.5600000000004</v>
      </c>
      <c r="H3" s="74">
        <v>90</v>
      </c>
      <c r="I3" s="74">
        <v>4480.5600000000004</v>
      </c>
      <c r="J3" s="74">
        <v>914.11</v>
      </c>
      <c r="K3" s="75">
        <v>5484.67</v>
      </c>
      <c r="L3" s="26" t="s">
        <v>82</v>
      </c>
    </row>
    <row r="4" spans="1:18" s="4" customFormat="1" outlineLevel="2" x14ac:dyDescent="0.35">
      <c r="A4" s="70" t="str">
        <f t="shared" si="0"/>
        <v>Janv</v>
      </c>
      <c r="B4" s="33">
        <v>42737</v>
      </c>
      <c r="C4" s="17">
        <v>128</v>
      </c>
      <c r="D4" s="37" t="s">
        <v>6</v>
      </c>
      <c r="E4" s="37" t="s">
        <v>7</v>
      </c>
      <c r="F4" s="37" t="s">
        <v>2</v>
      </c>
      <c r="G4" s="74">
        <v>2184</v>
      </c>
      <c r="H4" s="74">
        <v>0</v>
      </c>
      <c r="I4" s="74">
        <v>2184</v>
      </c>
      <c r="J4" s="74">
        <v>436.8</v>
      </c>
      <c r="K4" s="75">
        <v>2620.8000000000002</v>
      </c>
      <c r="L4" s="26" t="s">
        <v>82</v>
      </c>
    </row>
    <row r="5" spans="1:18" s="7" customFormat="1" outlineLevel="2" x14ac:dyDescent="0.35">
      <c r="A5" s="70" t="str">
        <f t="shared" si="0"/>
        <v>Janv</v>
      </c>
      <c r="B5" s="33">
        <v>42740</v>
      </c>
      <c r="C5" s="18">
        <v>129</v>
      </c>
      <c r="D5" s="38" t="s">
        <v>8</v>
      </c>
      <c r="E5" s="38" t="s">
        <v>9</v>
      </c>
      <c r="F5" s="38" t="s">
        <v>10</v>
      </c>
      <c r="G5" s="76">
        <v>355</v>
      </c>
      <c r="H5" s="76">
        <v>0</v>
      </c>
      <c r="I5" s="76">
        <v>355</v>
      </c>
      <c r="J5" s="76">
        <v>71</v>
      </c>
      <c r="K5" s="77">
        <v>426</v>
      </c>
      <c r="L5" s="27" t="s">
        <v>83</v>
      </c>
    </row>
    <row r="6" spans="1:18" s="7" customFormat="1" outlineLevel="2" x14ac:dyDescent="0.35">
      <c r="A6" s="70" t="str">
        <f t="shared" si="0"/>
        <v>Janv</v>
      </c>
      <c r="B6" s="33">
        <v>42740</v>
      </c>
      <c r="C6" s="18">
        <v>130</v>
      </c>
      <c r="D6" s="38" t="s">
        <v>11</v>
      </c>
      <c r="E6" s="38" t="s">
        <v>12</v>
      </c>
      <c r="F6" s="38" t="s">
        <v>13</v>
      </c>
      <c r="G6" s="76">
        <v>532.5</v>
      </c>
      <c r="H6" s="76">
        <v>0</v>
      </c>
      <c r="I6" s="76">
        <v>532.5</v>
      </c>
      <c r="J6" s="76">
        <v>106.5</v>
      </c>
      <c r="K6" s="77">
        <v>639</v>
      </c>
      <c r="L6" s="27" t="s">
        <v>83</v>
      </c>
    </row>
    <row r="7" spans="1:18" s="8" customFormat="1" outlineLevel="2" x14ac:dyDescent="0.35">
      <c r="A7" s="70" t="str">
        <f t="shared" si="0"/>
        <v>Janv</v>
      </c>
      <c r="B7" s="33">
        <v>42744</v>
      </c>
      <c r="C7" s="19">
        <v>131</v>
      </c>
      <c r="D7" s="39" t="s">
        <v>14</v>
      </c>
      <c r="E7" s="39" t="s">
        <v>15</v>
      </c>
      <c r="F7" s="40"/>
      <c r="G7" s="78">
        <v>5810.18</v>
      </c>
      <c r="H7" s="78">
        <v>0</v>
      </c>
      <c r="I7" s="78">
        <v>5810.18</v>
      </c>
      <c r="J7" s="78">
        <v>0</v>
      </c>
      <c r="K7" s="79">
        <v>5810.18</v>
      </c>
      <c r="L7" s="28" t="s">
        <v>84</v>
      </c>
    </row>
    <row r="8" spans="1:18" s="7" customFormat="1" outlineLevel="2" x14ac:dyDescent="0.35">
      <c r="A8" s="70" t="str">
        <f t="shared" si="0"/>
        <v>Janv</v>
      </c>
      <c r="B8" s="33">
        <v>42748</v>
      </c>
      <c r="C8" s="18">
        <v>132</v>
      </c>
      <c r="D8" s="38" t="s">
        <v>16</v>
      </c>
      <c r="E8" s="38" t="s">
        <v>17</v>
      </c>
      <c r="F8" s="38" t="s">
        <v>18</v>
      </c>
      <c r="G8" s="76">
        <v>394.5</v>
      </c>
      <c r="H8" s="76">
        <v>0</v>
      </c>
      <c r="I8" s="76">
        <v>394.5</v>
      </c>
      <c r="J8" s="76">
        <v>78.900000000000006</v>
      </c>
      <c r="K8" s="77">
        <v>473.4</v>
      </c>
      <c r="L8" s="27" t="s">
        <v>83</v>
      </c>
    </row>
    <row r="9" spans="1:18" s="7" customFormat="1" outlineLevel="2" x14ac:dyDescent="0.35">
      <c r="A9" s="70" t="str">
        <f>CHOOSE(MONTH(B9),"Janv","Févr","Mars","Avril","Mai","Juin","Juill","Aout","Sept","Oct","Nov","Déc")</f>
        <v>Janv</v>
      </c>
      <c r="B9" s="33">
        <v>42759</v>
      </c>
      <c r="C9" s="18">
        <v>133</v>
      </c>
      <c r="D9" s="38" t="s">
        <v>8</v>
      </c>
      <c r="E9" s="38" t="s">
        <v>9</v>
      </c>
      <c r="F9" s="38" t="s">
        <v>19</v>
      </c>
      <c r="G9" s="76">
        <v>355</v>
      </c>
      <c r="H9" s="76">
        <v>0</v>
      </c>
      <c r="I9" s="76">
        <v>355</v>
      </c>
      <c r="J9" s="76">
        <v>71</v>
      </c>
      <c r="K9" s="77">
        <v>426</v>
      </c>
      <c r="L9" s="27" t="s">
        <v>83</v>
      </c>
      <c r="M9" s="9"/>
    </row>
    <row r="10" spans="1:18" s="7" customFormat="1" outlineLevel="1" x14ac:dyDescent="0.35">
      <c r="A10" s="94" t="s">
        <v>77</v>
      </c>
      <c r="B10" s="95"/>
      <c r="C10" s="61"/>
      <c r="D10" s="62"/>
      <c r="E10" s="62"/>
      <c r="F10" s="62"/>
      <c r="G10" s="80">
        <f>SUBTOTAL(9,G2:G9)</f>
        <v>12017.740000000002</v>
      </c>
      <c r="H10" s="80">
        <f>SUBTOTAL(9,H2:H9)</f>
        <v>90</v>
      </c>
      <c r="I10" s="80">
        <f>SUBTOTAL(9,I2:I9)</f>
        <v>11927.740000000002</v>
      </c>
      <c r="J10" s="80"/>
      <c r="K10" s="80">
        <f>SUBTOTAL(9,K2:K9)</f>
        <v>13259.25</v>
      </c>
      <c r="L10" s="63"/>
      <c r="M10" s="9"/>
    </row>
    <row r="11" spans="1:18" outlineLevel="2" x14ac:dyDescent="0.35">
      <c r="A11" s="70" t="str">
        <f>CHOOSE(MONTH(B11),"Janv","Févr","Mars","Avril","Mai","Juin","Juill","Aout","Sept","Oct","Nov","Déc")</f>
        <v>Févr</v>
      </c>
      <c r="B11" s="33">
        <v>42767</v>
      </c>
      <c r="C11" s="10">
        <v>134</v>
      </c>
      <c r="D11" s="41" t="s">
        <v>6</v>
      </c>
      <c r="E11" s="41" t="s">
        <v>7</v>
      </c>
      <c r="G11" s="81">
        <v>1806</v>
      </c>
      <c r="H11" s="81">
        <v>0</v>
      </c>
      <c r="I11" s="81">
        <v>1806</v>
      </c>
      <c r="J11" s="81">
        <v>361.2</v>
      </c>
      <c r="K11" s="82">
        <v>2167.1999999999998</v>
      </c>
      <c r="L11" s="29" t="s">
        <v>82</v>
      </c>
    </row>
    <row r="12" spans="1:18" outlineLevel="2" x14ac:dyDescent="0.35">
      <c r="A12" s="70" t="str">
        <f t="shared" ref="A12:A20" si="1">CHOOSE(MONTH(B12),"Janv","Févr","Mars","Avril","Mai","Juin","Juill","Aout","Sept","Oct","Nov","Déc")</f>
        <v>Févr</v>
      </c>
      <c r="B12" s="33">
        <v>42767</v>
      </c>
      <c r="C12" s="10">
        <v>135</v>
      </c>
      <c r="D12" s="41" t="s">
        <v>31</v>
      </c>
      <c r="E12" s="41" t="s">
        <v>32</v>
      </c>
      <c r="F12" s="41" t="s">
        <v>33</v>
      </c>
      <c r="G12" s="81">
        <v>1938.8</v>
      </c>
      <c r="H12" s="81">
        <v>0</v>
      </c>
      <c r="I12" s="81">
        <v>1938.8</v>
      </c>
      <c r="J12" s="81">
        <v>387.76</v>
      </c>
      <c r="K12" s="82">
        <v>2326.56</v>
      </c>
      <c r="L12" s="29" t="s">
        <v>82</v>
      </c>
    </row>
    <row r="13" spans="1:18" outlineLevel="2" x14ac:dyDescent="0.35">
      <c r="A13" s="70" t="str">
        <f t="shared" si="1"/>
        <v>Févr</v>
      </c>
      <c r="B13" s="33">
        <v>42767</v>
      </c>
      <c r="C13" s="10">
        <v>136</v>
      </c>
      <c r="D13" s="41" t="s">
        <v>6</v>
      </c>
      <c r="E13" s="41" t="s">
        <v>7</v>
      </c>
      <c r="F13" s="41" t="s">
        <v>2</v>
      </c>
      <c r="G13" s="81">
        <v>1456</v>
      </c>
      <c r="H13" s="81">
        <v>0</v>
      </c>
      <c r="I13" s="81">
        <v>1456</v>
      </c>
      <c r="J13" s="81">
        <v>291.2</v>
      </c>
      <c r="K13" s="82">
        <v>1747.2</v>
      </c>
      <c r="L13" s="29" t="s">
        <v>82</v>
      </c>
      <c r="M13" s="1" t="s">
        <v>74</v>
      </c>
    </row>
    <row r="14" spans="1:18" outlineLevel="2" x14ac:dyDescent="0.35">
      <c r="A14" s="70" t="str">
        <f t="shared" si="1"/>
        <v>Févr</v>
      </c>
      <c r="B14" s="33">
        <v>42773</v>
      </c>
      <c r="C14" s="10">
        <v>137</v>
      </c>
      <c r="D14" s="41" t="s">
        <v>34</v>
      </c>
      <c r="E14" s="41" t="s">
        <v>35</v>
      </c>
      <c r="F14" s="41" t="s">
        <v>36</v>
      </c>
      <c r="G14" s="81">
        <v>1710</v>
      </c>
      <c r="H14" s="81">
        <v>200</v>
      </c>
      <c r="I14" s="81">
        <v>1510</v>
      </c>
      <c r="J14" s="81">
        <v>342</v>
      </c>
      <c r="K14" s="82">
        <v>2052</v>
      </c>
      <c r="L14" s="29" t="s">
        <v>71</v>
      </c>
    </row>
    <row r="15" spans="1:18" outlineLevel="2" x14ac:dyDescent="0.35">
      <c r="A15" s="70" t="str">
        <f t="shared" si="1"/>
        <v>Févr</v>
      </c>
      <c r="B15" s="33">
        <v>42773</v>
      </c>
      <c r="C15" s="10">
        <v>138</v>
      </c>
      <c r="D15" s="41" t="s">
        <v>37</v>
      </c>
      <c r="E15" s="41" t="s">
        <v>38</v>
      </c>
      <c r="F15" s="41" t="s">
        <v>39</v>
      </c>
      <c r="G15" s="81">
        <v>662.5</v>
      </c>
      <c r="H15" s="81">
        <v>100</v>
      </c>
      <c r="I15" s="81">
        <v>562.5</v>
      </c>
      <c r="J15" s="81">
        <v>132.5</v>
      </c>
      <c r="K15" s="82">
        <v>795</v>
      </c>
      <c r="L15" s="29" t="s">
        <v>71</v>
      </c>
    </row>
    <row r="16" spans="1:18" outlineLevel="2" x14ac:dyDescent="0.35">
      <c r="A16" s="70" t="str">
        <f t="shared" si="1"/>
        <v>Févr</v>
      </c>
      <c r="B16" s="33">
        <v>42776</v>
      </c>
      <c r="C16" s="10">
        <v>139</v>
      </c>
      <c r="D16" s="41" t="s">
        <v>40</v>
      </c>
      <c r="E16" s="41" t="s">
        <v>41</v>
      </c>
      <c r="F16" s="41" t="s">
        <v>42</v>
      </c>
      <c r="G16" s="81">
        <v>420</v>
      </c>
      <c r="H16" s="81">
        <v>125</v>
      </c>
      <c r="I16" s="81">
        <v>295</v>
      </c>
      <c r="J16" s="81">
        <v>84</v>
      </c>
      <c r="K16" s="82">
        <v>504</v>
      </c>
      <c r="L16" s="29" t="s">
        <v>71</v>
      </c>
    </row>
    <row r="17" spans="1:12" outlineLevel="2" x14ac:dyDescent="0.35">
      <c r="A17" s="70" t="str">
        <f t="shared" si="1"/>
        <v>Févr</v>
      </c>
      <c r="B17" s="33">
        <v>42779</v>
      </c>
      <c r="C17" s="10">
        <v>140</v>
      </c>
      <c r="D17" s="41" t="s">
        <v>14</v>
      </c>
      <c r="E17" s="41" t="s">
        <v>15</v>
      </c>
      <c r="F17" s="42" t="s">
        <v>114</v>
      </c>
      <c r="G17" s="81">
        <v>7350.72</v>
      </c>
      <c r="H17" s="81">
        <v>0</v>
      </c>
      <c r="I17" s="81">
        <v>7350.72</v>
      </c>
      <c r="J17" s="81">
        <v>0</v>
      </c>
      <c r="K17" s="82">
        <v>7350.72</v>
      </c>
      <c r="L17" s="29" t="s">
        <v>84</v>
      </c>
    </row>
    <row r="18" spans="1:12" outlineLevel="2" x14ac:dyDescent="0.35">
      <c r="A18" s="70" t="str">
        <f t="shared" si="1"/>
        <v>Févr</v>
      </c>
      <c r="B18" s="33">
        <v>42780</v>
      </c>
      <c r="C18" s="10">
        <v>141</v>
      </c>
      <c r="D18" s="41" t="s">
        <v>43</v>
      </c>
      <c r="E18" s="41" t="s">
        <v>44</v>
      </c>
      <c r="G18" s="81">
        <v>1450</v>
      </c>
      <c r="H18" s="81">
        <v>200</v>
      </c>
      <c r="I18" s="81">
        <v>1250</v>
      </c>
      <c r="J18" s="81">
        <v>290</v>
      </c>
      <c r="K18" s="82">
        <v>1740</v>
      </c>
      <c r="L18" s="29" t="s">
        <v>71</v>
      </c>
    </row>
    <row r="19" spans="1:12" outlineLevel="2" x14ac:dyDescent="0.35">
      <c r="A19" s="70" t="str">
        <f t="shared" si="1"/>
        <v>Févr</v>
      </c>
      <c r="B19" s="33">
        <v>42780</v>
      </c>
      <c r="C19" s="10">
        <v>142</v>
      </c>
      <c r="D19" s="41" t="s">
        <v>45</v>
      </c>
      <c r="E19" s="41" t="s">
        <v>46</v>
      </c>
      <c r="G19" s="81">
        <v>1450</v>
      </c>
      <c r="H19" s="81">
        <v>200</v>
      </c>
      <c r="I19" s="81">
        <v>1250</v>
      </c>
      <c r="J19" s="81">
        <v>290</v>
      </c>
      <c r="K19" s="82">
        <v>1740</v>
      </c>
      <c r="L19" s="29" t="s">
        <v>71</v>
      </c>
    </row>
    <row r="20" spans="1:12" outlineLevel="2" x14ac:dyDescent="0.35">
      <c r="A20" s="70" t="str">
        <f t="shared" si="1"/>
        <v>Févr</v>
      </c>
      <c r="B20" s="33">
        <v>42783</v>
      </c>
      <c r="C20" s="10">
        <v>143</v>
      </c>
      <c r="D20" s="41" t="s">
        <v>47</v>
      </c>
      <c r="E20" s="41" t="s">
        <v>48</v>
      </c>
      <c r="F20" s="41" t="s">
        <v>49</v>
      </c>
      <c r="G20" s="81">
        <v>294.89999999999998</v>
      </c>
      <c r="H20" s="81">
        <v>0</v>
      </c>
      <c r="I20" s="81">
        <v>294.89999999999998</v>
      </c>
      <c r="J20" s="81">
        <v>58.98</v>
      </c>
      <c r="K20" s="82">
        <v>353.88</v>
      </c>
      <c r="L20" s="29" t="s">
        <v>83</v>
      </c>
    </row>
    <row r="21" spans="1:12" outlineLevel="2" x14ac:dyDescent="0.35">
      <c r="A21" s="70" t="str">
        <f>CHOOSE(MONTH(B21),"Janv","Févr","Mars","Avril","Mai","Juin","Juill","Aout","Sept","Oct","Nov","Déc")</f>
        <v>Févr</v>
      </c>
      <c r="B21" s="33">
        <v>42788</v>
      </c>
      <c r="C21" s="10">
        <v>144</v>
      </c>
      <c r="D21" s="41" t="s">
        <v>50</v>
      </c>
      <c r="E21" s="41" t="s">
        <v>51</v>
      </c>
      <c r="G21" s="81">
        <v>3333.33</v>
      </c>
      <c r="H21" s="81">
        <v>0</v>
      </c>
      <c r="I21" s="81">
        <v>3333.33</v>
      </c>
      <c r="J21" s="81">
        <v>666.67</v>
      </c>
      <c r="K21" s="82">
        <v>4000</v>
      </c>
      <c r="L21" s="29"/>
    </row>
    <row r="22" spans="1:12" outlineLevel="1" x14ac:dyDescent="0.35">
      <c r="A22" s="94" t="s">
        <v>76</v>
      </c>
      <c r="B22" s="95"/>
      <c r="C22" s="58"/>
      <c r="D22" s="59"/>
      <c r="E22" s="59"/>
      <c r="F22" s="52"/>
      <c r="G22" s="83">
        <f>SUBTOTAL(9,G11:G21)</f>
        <v>21872.25</v>
      </c>
      <c r="H22" s="83">
        <f>SUBTOTAL(9,H11:H21)</f>
        <v>825</v>
      </c>
      <c r="I22" s="83">
        <f>SUBTOTAL(9,I11:I21)</f>
        <v>21047.25</v>
      </c>
      <c r="J22" s="83"/>
      <c r="K22" s="83">
        <f>SUBTOTAL(9,K11:K21)</f>
        <v>24776.560000000001</v>
      </c>
      <c r="L22" s="60"/>
    </row>
    <row r="23" spans="1:12" outlineLevel="2" x14ac:dyDescent="0.35">
      <c r="A23" s="70" t="str">
        <f>CHOOSE(MONTH(B23),"Janv","Févr","Mars","Avril","Mai","Juin","Juill","Aout","Sept","Oct","Nov","Déc")</f>
        <v>Mars</v>
      </c>
      <c r="B23" s="33">
        <v>42795</v>
      </c>
      <c r="C23" s="10">
        <v>7</v>
      </c>
      <c r="D23" s="41" t="s">
        <v>3</v>
      </c>
      <c r="E23" s="41" t="s">
        <v>4</v>
      </c>
      <c r="F23" s="41" t="s">
        <v>5</v>
      </c>
      <c r="G23" s="81">
        <v>-4570.5600000000004</v>
      </c>
      <c r="H23" s="81">
        <v>-90</v>
      </c>
      <c r="I23" s="81">
        <v>-4480.5600000000004</v>
      </c>
      <c r="J23" s="81">
        <v>-914.11</v>
      </c>
      <c r="K23" s="82">
        <v>-5484.67</v>
      </c>
      <c r="L23" s="29" t="s">
        <v>82</v>
      </c>
    </row>
    <row r="24" spans="1:12" outlineLevel="2" x14ac:dyDescent="0.35">
      <c r="A24" s="70" t="str">
        <f t="shared" ref="A24:A35" si="2">CHOOSE(MONTH(B24),"Janv","Févr","Mars","Avril","Mai","Juin","Juill","Aout","Sept","Oct","Nov","Déc")</f>
        <v>Mars</v>
      </c>
      <c r="B24" s="33">
        <v>42795</v>
      </c>
      <c r="C24" s="10">
        <v>145</v>
      </c>
      <c r="D24" s="41" t="s">
        <v>3</v>
      </c>
      <c r="E24" s="41" t="s">
        <v>4</v>
      </c>
      <c r="F24" s="41" t="s">
        <v>52</v>
      </c>
      <c r="G24" s="81">
        <v>8064</v>
      </c>
      <c r="H24" s="81">
        <v>0</v>
      </c>
      <c r="I24" s="81">
        <v>8064</v>
      </c>
      <c r="J24" s="81">
        <v>1612.8</v>
      </c>
      <c r="K24" s="82">
        <v>9676.7999999999993</v>
      </c>
      <c r="L24" s="29" t="s">
        <v>82</v>
      </c>
    </row>
    <row r="25" spans="1:12" outlineLevel="2" x14ac:dyDescent="0.35">
      <c r="A25" s="70" t="str">
        <f t="shared" si="2"/>
        <v>Mars</v>
      </c>
      <c r="B25" s="33">
        <v>42796</v>
      </c>
      <c r="C25" s="10">
        <v>146</v>
      </c>
      <c r="D25" s="41" t="s">
        <v>53</v>
      </c>
      <c r="E25" s="41" t="s">
        <v>54</v>
      </c>
      <c r="F25" s="41" t="s">
        <v>55</v>
      </c>
      <c r="G25" s="81">
        <v>750</v>
      </c>
      <c r="H25" s="81">
        <v>100</v>
      </c>
      <c r="I25" s="81">
        <v>650</v>
      </c>
      <c r="J25" s="81">
        <v>150</v>
      </c>
      <c r="K25" s="82">
        <v>900</v>
      </c>
      <c r="L25" s="29" t="s">
        <v>71</v>
      </c>
    </row>
    <row r="26" spans="1:12" outlineLevel="2" x14ac:dyDescent="0.35">
      <c r="A26" s="70" t="str">
        <f t="shared" si="2"/>
        <v>Mars</v>
      </c>
      <c r="B26" s="33">
        <v>42799</v>
      </c>
      <c r="C26" s="10">
        <v>147</v>
      </c>
      <c r="D26" s="41" t="s">
        <v>56</v>
      </c>
      <c r="E26" s="41" t="s">
        <v>57</v>
      </c>
      <c r="G26" s="81">
        <v>1810.8</v>
      </c>
      <c r="H26" s="81">
        <v>90</v>
      </c>
      <c r="I26" s="81">
        <v>1720.8</v>
      </c>
      <c r="J26" s="81">
        <v>362.16</v>
      </c>
      <c r="K26" s="82">
        <v>2172.96</v>
      </c>
      <c r="L26" s="29" t="s">
        <v>82</v>
      </c>
    </row>
    <row r="27" spans="1:12" outlineLevel="2" x14ac:dyDescent="0.35">
      <c r="A27" s="70" t="str">
        <f t="shared" si="2"/>
        <v>Mars</v>
      </c>
      <c r="B27" s="33">
        <v>42801</v>
      </c>
      <c r="C27" s="10">
        <v>148</v>
      </c>
      <c r="D27" s="41" t="s">
        <v>58</v>
      </c>
      <c r="E27" s="41" t="s">
        <v>59</v>
      </c>
      <c r="F27" s="41" t="s">
        <v>60</v>
      </c>
      <c r="G27" s="81">
        <v>2814.56</v>
      </c>
      <c r="H27" s="81">
        <v>0</v>
      </c>
      <c r="I27" s="81">
        <v>2814.56</v>
      </c>
      <c r="J27" s="81">
        <v>562.91</v>
      </c>
      <c r="K27" s="82">
        <v>3377.47</v>
      </c>
      <c r="L27" s="29" t="s">
        <v>82</v>
      </c>
    </row>
    <row r="28" spans="1:12" outlineLevel="2" x14ac:dyDescent="0.35">
      <c r="A28" s="70" t="str">
        <f t="shared" si="2"/>
        <v>Mars</v>
      </c>
      <c r="B28" s="33">
        <v>42801</v>
      </c>
      <c r="C28" s="10">
        <v>149</v>
      </c>
      <c r="D28" s="41" t="s">
        <v>61</v>
      </c>
      <c r="E28" s="41" t="s">
        <v>62</v>
      </c>
      <c r="F28" s="41" t="s">
        <v>63</v>
      </c>
      <c r="G28" s="81">
        <v>687.5</v>
      </c>
      <c r="H28" s="81">
        <v>0</v>
      </c>
      <c r="I28" s="81">
        <v>687.5</v>
      </c>
      <c r="J28" s="81">
        <v>137.5</v>
      </c>
      <c r="K28" s="82">
        <v>825</v>
      </c>
      <c r="L28" s="29" t="s">
        <v>71</v>
      </c>
    </row>
    <row r="29" spans="1:12" outlineLevel="2" x14ac:dyDescent="0.35">
      <c r="A29" s="70" t="str">
        <f t="shared" si="2"/>
        <v>Mars</v>
      </c>
      <c r="B29" s="33">
        <v>42802</v>
      </c>
      <c r="C29" s="10">
        <v>150</v>
      </c>
      <c r="D29" s="41" t="s">
        <v>64</v>
      </c>
      <c r="E29" s="41" t="s">
        <v>65</v>
      </c>
      <c r="F29" s="41" t="s">
        <v>66</v>
      </c>
      <c r="G29" s="81">
        <v>355</v>
      </c>
      <c r="H29" s="81">
        <v>0</v>
      </c>
      <c r="I29" s="81">
        <v>355</v>
      </c>
      <c r="J29" s="81">
        <v>71</v>
      </c>
      <c r="K29" s="82">
        <v>426</v>
      </c>
      <c r="L29" s="29" t="s">
        <v>83</v>
      </c>
    </row>
    <row r="30" spans="1:12" outlineLevel="2" x14ac:dyDescent="0.35">
      <c r="A30" s="70" t="str">
        <f t="shared" si="2"/>
        <v>Mars</v>
      </c>
      <c r="B30" s="33">
        <v>42802</v>
      </c>
      <c r="C30" s="10">
        <v>151</v>
      </c>
      <c r="D30" s="41" t="s">
        <v>67</v>
      </c>
      <c r="E30" s="41" t="s">
        <v>68</v>
      </c>
      <c r="F30" s="41" t="s">
        <v>69</v>
      </c>
      <c r="G30" s="81">
        <v>639</v>
      </c>
      <c r="H30" s="81">
        <v>0</v>
      </c>
      <c r="I30" s="81">
        <v>639</v>
      </c>
      <c r="J30" s="81">
        <v>127.8</v>
      </c>
      <c r="K30" s="82">
        <v>766.8</v>
      </c>
      <c r="L30" s="29" t="s">
        <v>83</v>
      </c>
    </row>
    <row r="31" spans="1:12" outlineLevel="2" x14ac:dyDescent="0.35">
      <c r="A31" s="70" t="str">
        <f t="shared" si="2"/>
        <v>Mars</v>
      </c>
      <c r="B31" s="33">
        <v>42802</v>
      </c>
      <c r="C31" s="10">
        <v>152</v>
      </c>
      <c r="D31" s="41" t="s">
        <v>67</v>
      </c>
      <c r="E31" s="41" t="s">
        <v>68</v>
      </c>
      <c r="F31" s="41" t="s">
        <v>70</v>
      </c>
      <c r="G31" s="81">
        <v>40.409999999999997</v>
      </c>
      <c r="H31" s="81">
        <v>0</v>
      </c>
      <c r="I31" s="81">
        <v>40.409999999999997</v>
      </c>
      <c r="J31" s="81">
        <v>8.08</v>
      </c>
      <c r="K31" s="82">
        <v>48.49</v>
      </c>
      <c r="L31" s="29" t="s">
        <v>83</v>
      </c>
    </row>
    <row r="32" spans="1:12" outlineLevel="2" x14ac:dyDescent="0.35">
      <c r="A32" s="70" t="str">
        <f t="shared" si="2"/>
        <v>Mars</v>
      </c>
      <c r="B32" s="33">
        <v>42808</v>
      </c>
      <c r="C32" s="10">
        <v>153</v>
      </c>
      <c r="D32" s="41" t="s">
        <v>14</v>
      </c>
      <c r="E32" s="41" t="s">
        <v>15</v>
      </c>
      <c r="G32" s="81">
        <v>9181.18</v>
      </c>
      <c r="H32" s="81">
        <v>0</v>
      </c>
      <c r="I32" s="81">
        <v>9181.18</v>
      </c>
      <c r="J32" s="81">
        <v>0</v>
      </c>
      <c r="K32" s="82">
        <v>9181.18</v>
      </c>
      <c r="L32" s="29" t="s">
        <v>84</v>
      </c>
    </row>
    <row r="33" spans="1:12" outlineLevel="2" x14ac:dyDescent="0.35">
      <c r="A33" s="70" t="str">
        <f t="shared" si="2"/>
        <v>Mars</v>
      </c>
      <c r="B33" s="71">
        <v>42815</v>
      </c>
      <c r="C33" s="10">
        <v>154</v>
      </c>
      <c r="D33" s="41" t="s">
        <v>85</v>
      </c>
      <c r="E33" s="41" t="s">
        <v>86</v>
      </c>
      <c r="F33" s="41" t="s">
        <v>87</v>
      </c>
      <c r="G33" s="81">
        <v>1544.5</v>
      </c>
      <c r="H33" s="81">
        <v>0</v>
      </c>
      <c r="I33" s="81">
        <v>1544.5</v>
      </c>
      <c r="J33" s="81">
        <v>0</v>
      </c>
      <c r="K33" s="81">
        <v>1544.5</v>
      </c>
      <c r="L33" s="29" t="s">
        <v>71</v>
      </c>
    </row>
    <row r="34" spans="1:12" outlineLevel="2" x14ac:dyDescent="0.35">
      <c r="A34" s="70" t="str">
        <f t="shared" si="2"/>
        <v>Mars</v>
      </c>
      <c r="B34" s="71">
        <v>42816</v>
      </c>
      <c r="C34" s="10">
        <v>155</v>
      </c>
      <c r="D34" s="41" t="s">
        <v>8</v>
      </c>
      <c r="E34" s="41" t="s">
        <v>9</v>
      </c>
      <c r="F34" s="41" t="s">
        <v>88</v>
      </c>
      <c r="G34" s="81">
        <v>1065</v>
      </c>
      <c r="H34" s="81">
        <v>0</v>
      </c>
      <c r="I34" s="81">
        <v>1065</v>
      </c>
      <c r="J34" s="81">
        <v>213</v>
      </c>
      <c r="K34" s="81">
        <v>1278</v>
      </c>
      <c r="L34" s="29" t="s">
        <v>83</v>
      </c>
    </row>
    <row r="35" spans="1:12" outlineLevel="2" x14ac:dyDescent="0.35">
      <c r="A35" s="70" t="str">
        <f t="shared" si="2"/>
        <v>Mars</v>
      </c>
      <c r="B35" s="71">
        <v>42824</v>
      </c>
      <c r="C35" s="10">
        <v>156</v>
      </c>
      <c r="D35" s="41" t="s">
        <v>3</v>
      </c>
      <c r="E35" s="41" t="s">
        <v>4</v>
      </c>
      <c r="F35" s="41" t="s">
        <v>89</v>
      </c>
      <c r="G35" s="81">
        <v>1075.2</v>
      </c>
      <c r="H35" s="81">
        <v>0</v>
      </c>
      <c r="I35" s="81">
        <v>1075.2</v>
      </c>
      <c r="J35" s="81">
        <v>215.04</v>
      </c>
      <c r="K35" s="81">
        <v>1290.24</v>
      </c>
      <c r="L35" s="29" t="s">
        <v>82</v>
      </c>
    </row>
    <row r="36" spans="1:12" outlineLevel="1" x14ac:dyDescent="0.35">
      <c r="A36" s="94" t="s">
        <v>79</v>
      </c>
      <c r="B36" s="95"/>
      <c r="C36" s="58"/>
      <c r="D36" s="59"/>
      <c r="E36" s="59"/>
      <c r="F36" s="59"/>
      <c r="G36" s="83">
        <f>SUBTOTAL(9,G23:G35)</f>
        <v>23456.59</v>
      </c>
      <c r="H36" s="83">
        <f>SUBTOTAL(9,H23:H35)</f>
        <v>100</v>
      </c>
      <c r="I36" s="83">
        <f>SUBTOTAL(9,I23:I35)</f>
        <v>23356.59</v>
      </c>
      <c r="J36" s="83"/>
      <c r="K36" s="83">
        <f>SUBTOTAL(9,K23:K35)</f>
        <v>26002.77</v>
      </c>
      <c r="L36" s="60"/>
    </row>
    <row r="37" spans="1:12" s="25" customFormat="1" outlineLevel="2" x14ac:dyDescent="0.35">
      <c r="A37" s="70" t="str">
        <f>CHOOSE(MONTH(B37),"Janv","Févr","Mars","Avril","Mai","Juin","Juill","Aout","Sept","Oct","Nov","Déc")</f>
        <v>Avril</v>
      </c>
      <c r="B37" s="35">
        <v>42826</v>
      </c>
      <c r="C37" s="31"/>
      <c r="D37" s="43"/>
      <c r="E37" s="43"/>
      <c r="F37" s="44"/>
      <c r="G37" s="84"/>
      <c r="H37" s="84"/>
      <c r="I37" s="84"/>
      <c r="J37" s="84"/>
      <c r="K37" s="85"/>
      <c r="L37" s="32"/>
    </row>
    <row r="38" spans="1:12" s="25" customFormat="1" outlineLevel="2" x14ac:dyDescent="0.35">
      <c r="A38" s="70" t="str">
        <f t="shared" ref="A38:A50" si="3">CHOOSE(MONTH(B38),"Janv","Févr","Mars","Avril","Mai","Juin","Juill","Aout","Sept","Oct","Nov","Déc")</f>
        <v>Avril</v>
      </c>
      <c r="B38" s="35">
        <v>42827</v>
      </c>
      <c r="C38" s="31"/>
      <c r="D38" s="43"/>
      <c r="E38" s="43"/>
      <c r="F38" s="44"/>
      <c r="G38" s="84"/>
      <c r="H38" s="84"/>
      <c r="I38" s="84"/>
      <c r="J38" s="84" t="s">
        <v>74</v>
      </c>
      <c r="K38" s="85"/>
      <c r="L38" s="32"/>
    </row>
    <row r="39" spans="1:12" s="25" customFormat="1" outlineLevel="2" x14ac:dyDescent="0.35">
      <c r="A39" s="70" t="str">
        <f t="shared" si="3"/>
        <v>Avril</v>
      </c>
      <c r="B39" s="35">
        <v>42828</v>
      </c>
      <c r="C39" s="31"/>
      <c r="D39" s="43"/>
      <c r="E39" s="43"/>
      <c r="F39" s="44"/>
      <c r="G39" s="84"/>
      <c r="H39" s="84"/>
      <c r="I39" s="84"/>
      <c r="J39" s="84"/>
      <c r="K39" s="85"/>
      <c r="L39" s="32"/>
    </row>
    <row r="40" spans="1:12" s="25" customFormat="1" outlineLevel="2" x14ac:dyDescent="0.35">
      <c r="A40" s="70" t="str">
        <f t="shared" si="3"/>
        <v>Avril</v>
      </c>
      <c r="B40" s="35">
        <v>42829</v>
      </c>
      <c r="C40" s="31"/>
      <c r="D40" s="43"/>
      <c r="E40" s="43"/>
      <c r="F40" s="44"/>
      <c r="G40" s="84"/>
      <c r="H40" s="84"/>
      <c r="I40" s="84"/>
      <c r="J40" s="84"/>
      <c r="K40" s="85"/>
      <c r="L40" s="32"/>
    </row>
    <row r="41" spans="1:12" s="25" customFormat="1" outlineLevel="2" x14ac:dyDescent="0.35">
      <c r="A41" s="70" t="str">
        <f t="shared" si="3"/>
        <v>Avril</v>
      </c>
      <c r="B41" s="35">
        <v>42830</v>
      </c>
      <c r="C41" s="31"/>
      <c r="D41" s="43"/>
      <c r="E41" s="43"/>
      <c r="F41" s="44"/>
      <c r="G41" s="84"/>
      <c r="H41" s="84"/>
      <c r="I41" s="84"/>
      <c r="J41" s="84"/>
      <c r="K41" s="85"/>
      <c r="L41" s="32"/>
    </row>
    <row r="42" spans="1:12" s="25" customFormat="1" outlineLevel="2" x14ac:dyDescent="0.35">
      <c r="A42" s="70" t="str">
        <f t="shared" si="3"/>
        <v>Avril</v>
      </c>
      <c r="B42" s="35">
        <v>42831</v>
      </c>
      <c r="C42" s="31"/>
      <c r="D42" s="43"/>
      <c r="E42" s="43"/>
      <c r="F42" s="44"/>
      <c r="G42" s="84"/>
      <c r="H42" s="84"/>
      <c r="I42" s="84"/>
      <c r="J42" s="84"/>
      <c r="K42" s="85"/>
      <c r="L42" s="32"/>
    </row>
    <row r="43" spans="1:12" s="25" customFormat="1" outlineLevel="2" x14ac:dyDescent="0.35">
      <c r="A43" s="70" t="str">
        <f t="shared" si="3"/>
        <v>Avril</v>
      </c>
      <c r="B43" s="35">
        <v>42832</v>
      </c>
      <c r="C43" s="31"/>
      <c r="D43" s="43"/>
      <c r="E43" s="43"/>
      <c r="F43" s="44"/>
      <c r="G43" s="84"/>
      <c r="H43" s="84"/>
      <c r="I43" s="84"/>
      <c r="J43" s="84"/>
      <c r="K43" s="85"/>
      <c r="L43" s="32"/>
    </row>
    <row r="44" spans="1:12" s="25" customFormat="1" outlineLevel="2" x14ac:dyDescent="0.35">
      <c r="A44" s="70" t="str">
        <f t="shared" si="3"/>
        <v>Avril</v>
      </c>
      <c r="B44" s="35">
        <v>42833</v>
      </c>
      <c r="C44" s="31"/>
      <c r="D44" s="43"/>
      <c r="E44" s="43"/>
      <c r="F44" s="44"/>
      <c r="G44" s="84"/>
      <c r="H44" s="84"/>
      <c r="I44" s="84"/>
      <c r="J44" s="84"/>
      <c r="K44" s="85"/>
      <c r="L44" s="32"/>
    </row>
    <row r="45" spans="1:12" s="25" customFormat="1" outlineLevel="2" x14ac:dyDescent="0.35">
      <c r="A45" s="70" t="str">
        <f t="shared" si="3"/>
        <v>Avril</v>
      </c>
      <c r="B45" s="35">
        <v>42834</v>
      </c>
      <c r="C45" s="31"/>
      <c r="D45" s="43"/>
      <c r="E45" s="43"/>
      <c r="F45" s="44"/>
      <c r="G45" s="84"/>
      <c r="H45" s="84"/>
      <c r="I45" s="84"/>
      <c r="J45" s="84"/>
      <c r="K45" s="85"/>
      <c r="L45" s="32"/>
    </row>
    <row r="46" spans="1:12" s="25" customFormat="1" outlineLevel="2" x14ac:dyDescent="0.35">
      <c r="A46" s="70" t="str">
        <f t="shared" si="3"/>
        <v>Avril</v>
      </c>
      <c r="B46" s="35">
        <v>42835</v>
      </c>
      <c r="C46" s="31"/>
      <c r="D46" s="43"/>
      <c r="E46" s="43"/>
      <c r="F46" s="44"/>
      <c r="G46" s="84"/>
      <c r="H46" s="84"/>
      <c r="I46" s="84"/>
      <c r="J46" s="84"/>
      <c r="K46" s="85"/>
      <c r="L46" s="32"/>
    </row>
    <row r="47" spans="1:12" s="25" customFormat="1" outlineLevel="2" x14ac:dyDescent="0.35">
      <c r="A47" s="70" t="str">
        <f t="shared" si="3"/>
        <v>Avril</v>
      </c>
      <c r="B47" s="35">
        <v>42836</v>
      </c>
      <c r="C47" s="31"/>
      <c r="D47" s="43"/>
      <c r="E47" s="43"/>
      <c r="F47" s="44"/>
      <c r="G47" s="84"/>
      <c r="H47" s="84"/>
      <c r="I47" s="84"/>
      <c r="J47" s="84"/>
      <c r="K47" s="85"/>
      <c r="L47" s="32"/>
    </row>
    <row r="48" spans="1:12" s="25" customFormat="1" outlineLevel="2" x14ac:dyDescent="0.35">
      <c r="A48" s="70" t="str">
        <f t="shared" si="3"/>
        <v>Avril</v>
      </c>
      <c r="B48" s="35">
        <v>42837</v>
      </c>
      <c r="C48" s="31"/>
      <c r="D48" s="43"/>
      <c r="E48" s="43"/>
      <c r="F48" s="44"/>
      <c r="G48" s="84"/>
      <c r="H48" s="84"/>
      <c r="I48" s="84"/>
      <c r="J48" s="84"/>
      <c r="K48" s="85"/>
      <c r="L48" s="32"/>
    </row>
    <row r="49" spans="1:12" s="25" customFormat="1" outlineLevel="2" x14ac:dyDescent="0.35">
      <c r="A49" s="70" t="str">
        <f t="shared" si="3"/>
        <v>Avril</v>
      </c>
      <c r="B49" s="35">
        <v>42838</v>
      </c>
      <c r="C49" s="31"/>
      <c r="D49" s="43"/>
      <c r="E49" s="43"/>
      <c r="F49" s="44"/>
      <c r="G49" s="84"/>
      <c r="H49" s="84"/>
      <c r="I49" s="84"/>
      <c r="J49" s="84"/>
      <c r="K49" s="85"/>
      <c r="L49" s="32"/>
    </row>
    <row r="50" spans="1:12" s="25" customFormat="1" outlineLevel="2" x14ac:dyDescent="0.35">
      <c r="A50" s="70" t="str">
        <f t="shared" si="3"/>
        <v>Avril</v>
      </c>
      <c r="B50" s="35">
        <v>42839</v>
      </c>
      <c r="C50" s="31"/>
      <c r="D50" s="43"/>
      <c r="E50" s="43"/>
      <c r="F50" s="44"/>
      <c r="G50" s="84"/>
      <c r="H50" s="84"/>
      <c r="I50" s="84"/>
      <c r="J50" s="84"/>
      <c r="K50" s="85"/>
      <c r="L50" s="32"/>
    </row>
    <row r="51" spans="1:12" s="25" customFormat="1" outlineLevel="1" x14ac:dyDescent="0.35">
      <c r="A51" s="94" t="s">
        <v>90</v>
      </c>
      <c r="B51" s="95"/>
      <c r="C51" s="54"/>
      <c r="D51" s="55"/>
      <c r="E51" s="55"/>
      <c r="F51" s="56"/>
      <c r="G51" s="86">
        <f>SUBTOTAL(9,G37:G50)</f>
        <v>0</v>
      </c>
      <c r="H51" s="86">
        <f>SUBTOTAL(9,H37:H50)</f>
        <v>0</v>
      </c>
      <c r="I51" s="86">
        <f>SUBTOTAL(9,I37:I50)</f>
        <v>0</v>
      </c>
      <c r="J51" s="86"/>
      <c r="K51" s="86">
        <f>SUBTOTAL(9,K37:K50)</f>
        <v>0</v>
      </c>
      <c r="L51" s="57"/>
    </row>
    <row r="52" spans="1:12" s="25" customFormat="1" outlineLevel="2" x14ac:dyDescent="0.35">
      <c r="A52" s="70" t="str">
        <f>CHOOSE(MONTH(B52),"Janv","Févr","Mars","Avril","Mai","Juin","Juill","Aout","Sept","Oct","Nov","Déc")</f>
        <v>Mai</v>
      </c>
      <c r="B52" s="35">
        <v>42856</v>
      </c>
      <c r="C52" s="31"/>
      <c r="D52" s="43"/>
      <c r="E52" s="43"/>
      <c r="F52" s="44"/>
      <c r="G52" s="84"/>
      <c r="H52" s="84"/>
      <c r="I52" s="84"/>
      <c r="J52" s="84"/>
      <c r="K52" s="85"/>
      <c r="L52" s="32"/>
    </row>
    <row r="53" spans="1:12" s="25" customFormat="1" outlineLevel="2" x14ac:dyDescent="0.35">
      <c r="A53" s="70" t="str">
        <f t="shared" ref="A53:A65" si="4">CHOOSE(MONTH(B53),"Janv","Févr","Mars","Avril","Mai","Juin","Juill","Aout","Sept","Oct","Nov","Déc")</f>
        <v>Mai</v>
      </c>
      <c r="B53" s="35">
        <v>42857</v>
      </c>
      <c r="C53" s="31"/>
      <c r="D53" s="43"/>
      <c r="E53" s="43"/>
      <c r="F53" s="44"/>
      <c r="G53" s="84"/>
      <c r="H53" s="84"/>
      <c r="I53" s="84"/>
      <c r="J53" s="84"/>
      <c r="K53" s="85"/>
      <c r="L53" s="32"/>
    </row>
    <row r="54" spans="1:12" s="24" customFormat="1" outlineLevel="2" x14ac:dyDescent="0.35">
      <c r="A54" s="70" t="str">
        <f t="shared" si="4"/>
        <v>Mai</v>
      </c>
      <c r="B54" s="35">
        <v>42858</v>
      </c>
      <c r="C54" s="31"/>
      <c r="D54" s="43"/>
      <c r="E54" s="43"/>
      <c r="F54" s="44"/>
      <c r="G54" s="84"/>
      <c r="H54" s="84"/>
      <c r="I54" s="84"/>
      <c r="J54" s="84"/>
      <c r="K54" s="85"/>
      <c r="L54" s="32"/>
    </row>
    <row r="55" spans="1:12" outlineLevel="2" x14ac:dyDescent="0.35">
      <c r="A55" s="70" t="str">
        <f t="shared" si="4"/>
        <v>Mai</v>
      </c>
      <c r="B55" s="35">
        <v>42859</v>
      </c>
      <c r="K55" s="88"/>
      <c r="L55" s="30"/>
    </row>
    <row r="56" spans="1:12" outlineLevel="2" x14ac:dyDescent="0.35">
      <c r="A56" s="70" t="str">
        <f t="shared" si="4"/>
        <v>Mai</v>
      </c>
      <c r="B56" s="35">
        <v>42860</v>
      </c>
      <c r="K56" s="88"/>
      <c r="L56" s="30"/>
    </row>
    <row r="57" spans="1:12" outlineLevel="2" x14ac:dyDescent="0.35">
      <c r="A57" s="70" t="str">
        <f t="shared" si="4"/>
        <v>Mai</v>
      </c>
      <c r="B57" s="35">
        <v>42861</v>
      </c>
      <c r="K57" s="88"/>
      <c r="L57" s="30"/>
    </row>
    <row r="58" spans="1:12" outlineLevel="2" x14ac:dyDescent="0.35">
      <c r="A58" s="70" t="str">
        <f t="shared" si="4"/>
        <v>Mai</v>
      </c>
      <c r="B58" s="35">
        <v>42862</v>
      </c>
      <c r="K58" s="88"/>
      <c r="L58" s="30"/>
    </row>
    <row r="59" spans="1:12" outlineLevel="2" x14ac:dyDescent="0.35">
      <c r="A59" s="70" t="str">
        <f t="shared" si="4"/>
        <v>Mai</v>
      </c>
      <c r="B59" s="35">
        <v>42863</v>
      </c>
      <c r="K59" s="88"/>
      <c r="L59" s="30"/>
    </row>
    <row r="60" spans="1:12" outlineLevel="2" x14ac:dyDescent="0.35">
      <c r="A60" s="70" t="str">
        <f t="shared" si="4"/>
        <v>Mai</v>
      </c>
      <c r="B60" s="35">
        <v>42864</v>
      </c>
      <c r="K60" s="88"/>
      <c r="L60" s="30"/>
    </row>
    <row r="61" spans="1:12" outlineLevel="2" x14ac:dyDescent="0.35">
      <c r="A61" s="70" t="str">
        <f t="shared" si="4"/>
        <v>Mai</v>
      </c>
      <c r="B61" s="35">
        <v>42865</v>
      </c>
      <c r="K61" s="88"/>
      <c r="L61" s="30"/>
    </row>
    <row r="62" spans="1:12" outlineLevel="2" x14ac:dyDescent="0.35">
      <c r="A62" s="70" t="str">
        <f t="shared" si="4"/>
        <v>Mai</v>
      </c>
      <c r="B62" s="35">
        <v>42866</v>
      </c>
      <c r="K62" s="88"/>
      <c r="L62" s="30"/>
    </row>
    <row r="63" spans="1:12" outlineLevel="2" x14ac:dyDescent="0.35">
      <c r="A63" s="70" t="str">
        <f t="shared" si="4"/>
        <v>Mai</v>
      </c>
      <c r="B63" s="35">
        <v>42867</v>
      </c>
      <c r="K63" s="88"/>
      <c r="L63" s="30"/>
    </row>
    <row r="64" spans="1:12" outlineLevel="2" x14ac:dyDescent="0.35">
      <c r="A64" s="70" t="str">
        <f t="shared" si="4"/>
        <v>Mai</v>
      </c>
      <c r="B64" s="35">
        <v>42868</v>
      </c>
      <c r="K64" s="88"/>
      <c r="L64" s="30"/>
    </row>
    <row r="65" spans="1:12" outlineLevel="2" x14ac:dyDescent="0.35">
      <c r="A65" s="70" t="str">
        <f t="shared" si="4"/>
        <v>Mai</v>
      </c>
      <c r="B65" s="35">
        <v>42869</v>
      </c>
      <c r="K65" s="88"/>
      <c r="L65" s="30"/>
    </row>
    <row r="66" spans="1:12" outlineLevel="1" x14ac:dyDescent="0.35">
      <c r="A66" s="94" t="s">
        <v>91</v>
      </c>
      <c r="B66" s="95"/>
      <c r="C66" s="48"/>
      <c r="D66" s="52"/>
      <c r="E66" s="52"/>
      <c r="F66" s="52"/>
      <c r="G66" s="89">
        <f>SUBTOTAL(9,G52:G65)</f>
        <v>0</v>
      </c>
      <c r="H66" s="89">
        <f>SUBTOTAL(9,H52:H65)</f>
        <v>0</v>
      </c>
      <c r="I66" s="89">
        <f>SUBTOTAL(9,I52:I65)</f>
        <v>0</v>
      </c>
      <c r="J66" s="89"/>
      <c r="K66" s="89">
        <f>SUBTOTAL(9,K52:K65)</f>
        <v>0</v>
      </c>
      <c r="L66" s="53"/>
    </row>
    <row r="67" spans="1:12" outlineLevel="2" x14ac:dyDescent="0.35">
      <c r="A67" s="70" t="str">
        <f>CHOOSE(MONTH(B67),"Janv","Févr","Mars","Avril","Mai","Juin","Juill","Aout","Sept","Oct","Nov","Déc")</f>
        <v>Juin</v>
      </c>
      <c r="B67" s="35">
        <v>42887</v>
      </c>
      <c r="K67" s="88"/>
      <c r="L67" s="30"/>
    </row>
    <row r="68" spans="1:12" outlineLevel="2" x14ac:dyDescent="0.35">
      <c r="A68" s="70" t="str">
        <f t="shared" ref="A68:A83" si="5">CHOOSE(MONTH(B68),"Janv","Févr","Mars","Avril","Mai","Juin","Juill","Aout","Sept","Oct","Nov","Déc")</f>
        <v>Juin</v>
      </c>
      <c r="B68" s="35">
        <v>42888</v>
      </c>
      <c r="K68" s="88"/>
      <c r="L68" s="30"/>
    </row>
    <row r="69" spans="1:12" outlineLevel="2" x14ac:dyDescent="0.35">
      <c r="A69" s="70" t="str">
        <f t="shared" si="5"/>
        <v>Juin</v>
      </c>
      <c r="B69" s="35">
        <v>42889</v>
      </c>
      <c r="K69" s="88"/>
      <c r="L69" s="30"/>
    </row>
    <row r="70" spans="1:12" outlineLevel="2" x14ac:dyDescent="0.35">
      <c r="A70" s="70" t="str">
        <f t="shared" si="5"/>
        <v>Juin</v>
      </c>
      <c r="B70" s="35">
        <v>42890</v>
      </c>
      <c r="K70" s="88"/>
      <c r="L70" s="30"/>
    </row>
    <row r="71" spans="1:12" outlineLevel="2" x14ac:dyDescent="0.35">
      <c r="A71" s="70" t="str">
        <f t="shared" si="5"/>
        <v>Juin</v>
      </c>
      <c r="B71" s="35">
        <v>42891</v>
      </c>
      <c r="K71" s="88"/>
      <c r="L71" s="30"/>
    </row>
    <row r="72" spans="1:12" outlineLevel="2" x14ac:dyDescent="0.35">
      <c r="A72" s="70" t="str">
        <f t="shared" si="5"/>
        <v>Juin</v>
      </c>
      <c r="B72" s="35">
        <v>42892</v>
      </c>
      <c r="K72" s="88"/>
      <c r="L72" s="30"/>
    </row>
    <row r="73" spans="1:12" outlineLevel="2" x14ac:dyDescent="0.35">
      <c r="A73" s="70" t="str">
        <f t="shared" si="5"/>
        <v>Juin</v>
      </c>
      <c r="B73" s="35">
        <v>42893</v>
      </c>
      <c r="K73" s="88"/>
      <c r="L73" s="30"/>
    </row>
    <row r="74" spans="1:12" outlineLevel="2" x14ac:dyDescent="0.35">
      <c r="A74" s="70" t="str">
        <f t="shared" si="5"/>
        <v>Juin</v>
      </c>
      <c r="B74" s="35">
        <v>42894</v>
      </c>
      <c r="K74" s="88"/>
      <c r="L74" s="30"/>
    </row>
    <row r="75" spans="1:12" outlineLevel="2" x14ac:dyDescent="0.35">
      <c r="A75" s="70" t="str">
        <f t="shared" si="5"/>
        <v>Juin</v>
      </c>
      <c r="B75" s="35">
        <v>42895</v>
      </c>
      <c r="K75" s="88"/>
      <c r="L75" s="30"/>
    </row>
    <row r="76" spans="1:12" outlineLevel="2" x14ac:dyDescent="0.35">
      <c r="A76" s="70" t="str">
        <f t="shared" si="5"/>
        <v>Juin</v>
      </c>
      <c r="B76" s="35">
        <v>42896</v>
      </c>
      <c r="K76" s="88"/>
      <c r="L76" s="30"/>
    </row>
    <row r="77" spans="1:12" outlineLevel="2" x14ac:dyDescent="0.35">
      <c r="A77" s="70" t="str">
        <f t="shared" si="5"/>
        <v>Juin</v>
      </c>
      <c r="B77" s="35">
        <v>42897</v>
      </c>
      <c r="K77" s="88"/>
      <c r="L77" s="30"/>
    </row>
    <row r="78" spans="1:12" outlineLevel="2" x14ac:dyDescent="0.35">
      <c r="A78" s="70" t="str">
        <f t="shared" si="5"/>
        <v>Juin</v>
      </c>
      <c r="B78" s="35">
        <v>42898</v>
      </c>
      <c r="K78" s="88"/>
      <c r="L78" s="30"/>
    </row>
    <row r="79" spans="1:12" outlineLevel="2" x14ac:dyDescent="0.35">
      <c r="A79" s="70" t="str">
        <f t="shared" si="5"/>
        <v>Juin</v>
      </c>
      <c r="B79" s="35">
        <v>42899</v>
      </c>
      <c r="K79" s="88"/>
      <c r="L79" s="30"/>
    </row>
    <row r="80" spans="1:12" outlineLevel="2" x14ac:dyDescent="0.35">
      <c r="A80" s="70" t="str">
        <f t="shared" si="5"/>
        <v>Juin</v>
      </c>
      <c r="B80" s="35">
        <v>42900</v>
      </c>
      <c r="K80" s="88"/>
      <c r="L80" s="30"/>
    </row>
    <row r="81" spans="1:13" outlineLevel="2" x14ac:dyDescent="0.35">
      <c r="A81" s="70" t="str">
        <f t="shared" si="5"/>
        <v>Juin</v>
      </c>
      <c r="B81" s="35">
        <v>42901</v>
      </c>
      <c r="K81" s="88"/>
      <c r="L81" s="30"/>
    </row>
    <row r="82" spans="1:13" outlineLevel="2" x14ac:dyDescent="0.35">
      <c r="A82" s="70" t="str">
        <f t="shared" si="5"/>
        <v>Juin</v>
      </c>
      <c r="B82" s="35">
        <v>42902</v>
      </c>
      <c r="K82" s="88"/>
      <c r="L82" s="30"/>
    </row>
    <row r="83" spans="1:13" outlineLevel="2" x14ac:dyDescent="0.35">
      <c r="A83" s="70" t="str">
        <f t="shared" si="5"/>
        <v>Juin</v>
      </c>
      <c r="B83" s="35">
        <v>42903</v>
      </c>
      <c r="K83" s="88"/>
      <c r="L83" s="30"/>
    </row>
    <row r="84" spans="1:13" outlineLevel="1" x14ac:dyDescent="0.35">
      <c r="A84" s="94" t="s">
        <v>92</v>
      </c>
      <c r="B84" s="95"/>
      <c r="C84" s="48"/>
      <c r="D84" s="52"/>
      <c r="E84" s="52"/>
      <c r="F84" s="52"/>
      <c r="G84" s="89">
        <f>SUBTOTAL(9,G67:G83)</f>
        <v>0</v>
      </c>
      <c r="H84" s="89">
        <f>SUBTOTAL(9,H67:H83)</f>
        <v>0</v>
      </c>
      <c r="I84" s="89">
        <f>SUBTOTAL(9,I67:I83)</f>
        <v>0</v>
      </c>
      <c r="J84" s="89"/>
      <c r="K84" s="89">
        <f>SUBTOTAL(9,K67:K83)</f>
        <v>0</v>
      </c>
      <c r="L84" s="53"/>
      <c r="M84" s="64"/>
    </row>
    <row r="85" spans="1:13" outlineLevel="2" x14ac:dyDescent="0.35">
      <c r="A85" s="70" t="str">
        <f>CHOOSE(MONTH(B85),"Janv","Févr","Mars","Avril","Mai","Juin","Juill","Aout","Sept","Oct","Nov","Déc")</f>
        <v>Juill</v>
      </c>
      <c r="B85" s="34">
        <v>42917</v>
      </c>
      <c r="K85" s="88"/>
      <c r="L85" s="30"/>
    </row>
    <row r="86" spans="1:13" outlineLevel="2" x14ac:dyDescent="0.35">
      <c r="A86" s="70" t="str">
        <f t="shared" ref="A86:A98" si="6">CHOOSE(MONTH(B86),"Janv","Févr","Mars","Avril","Mai","Juin","Juill","Aout","Sept","Oct","Nov","Déc")</f>
        <v>Juill</v>
      </c>
      <c r="B86" s="34">
        <v>42918</v>
      </c>
      <c r="K86" s="88"/>
      <c r="L86" s="30"/>
    </row>
    <row r="87" spans="1:13" outlineLevel="2" x14ac:dyDescent="0.35">
      <c r="A87" s="70" t="str">
        <f t="shared" si="6"/>
        <v>Juill</v>
      </c>
      <c r="B87" s="34">
        <v>42919</v>
      </c>
      <c r="K87" s="88"/>
      <c r="L87" s="30"/>
    </row>
    <row r="88" spans="1:13" outlineLevel="2" x14ac:dyDescent="0.35">
      <c r="A88" s="70" t="str">
        <f t="shared" si="6"/>
        <v>Juill</v>
      </c>
      <c r="B88" s="34">
        <v>42920</v>
      </c>
      <c r="K88" s="88"/>
      <c r="L88" s="30"/>
    </row>
    <row r="89" spans="1:13" outlineLevel="2" x14ac:dyDescent="0.35">
      <c r="A89" s="70" t="str">
        <f t="shared" si="6"/>
        <v>Juill</v>
      </c>
      <c r="B89" s="34">
        <v>42921</v>
      </c>
      <c r="K89" s="88"/>
      <c r="L89" s="30"/>
    </row>
    <row r="90" spans="1:13" outlineLevel="2" x14ac:dyDescent="0.35">
      <c r="A90" s="70" t="str">
        <f t="shared" si="6"/>
        <v>Juill</v>
      </c>
      <c r="B90" s="34">
        <v>42922</v>
      </c>
      <c r="K90" s="88"/>
      <c r="L90" s="30"/>
    </row>
    <row r="91" spans="1:13" outlineLevel="2" x14ac:dyDescent="0.35">
      <c r="A91" s="70" t="str">
        <f t="shared" si="6"/>
        <v>Juill</v>
      </c>
      <c r="B91" s="34">
        <v>42923</v>
      </c>
      <c r="K91" s="88"/>
      <c r="L91" s="30"/>
    </row>
    <row r="92" spans="1:13" outlineLevel="2" x14ac:dyDescent="0.35">
      <c r="A92" s="70" t="str">
        <f t="shared" si="6"/>
        <v>Juill</v>
      </c>
      <c r="B92" s="34">
        <v>42924</v>
      </c>
      <c r="K92" s="88"/>
      <c r="L92" s="30"/>
    </row>
    <row r="93" spans="1:13" outlineLevel="2" x14ac:dyDescent="0.35">
      <c r="A93" s="70" t="str">
        <f t="shared" si="6"/>
        <v>Juill</v>
      </c>
      <c r="B93" s="34">
        <v>42925</v>
      </c>
      <c r="K93" s="88"/>
      <c r="L93" s="30"/>
    </row>
    <row r="94" spans="1:13" outlineLevel="2" x14ac:dyDescent="0.35">
      <c r="A94" s="70" t="str">
        <f t="shared" si="6"/>
        <v>Juill</v>
      </c>
      <c r="B94" s="34">
        <v>42926</v>
      </c>
      <c r="K94" s="88"/>
      <c r="L94" s="30"/>
    </row>
    <row r="95" spans="1:13" outlineLevel="2" x14ac:dyDescent="0.35">
      <c r="A95" s="70" t="str">
        <f t="shared" si="6"/>
        <v>Juill</v>
      </c>
      <c r="B95" s="34">
        <v>42927</v>
      </c>
      <c r="K95" s="88"/>
      <c r="L95" s="30"/>
    </row>
    <row r="96" spans="1:13" outlineLevel="2" x14ac:dyDescent="0.35">
      <c r="A96" s="70" t="str">
        <f t="shared" si="6"/>
        <v>Juill</v>
      </c>
      <c r="B96" s="34">
        <v>42928</v>
      </c>
      <c r="L96" s="30"/>
    </row>
    <row r="97" spans="1:12" outlineLevel="2" x14ac:dyDescent="0.35">
      <c r="A97" s="70" t="str">
        <f t="shared" si="6"/>
        <v>Juill</v>
      </c>
      <c r="B97" s="34">
        <v>42929</v>
      </c>
      <c r="L97" s="30"/>
    </row>
    <row r="98" spans="1:12" outlineLevel="2" x14ac:dyDescent="0.35">
      <c r="A98" s="70" t="str">
        <f t="shared" si="6"/>
        <v>Juill</v>
      </c>
      <c r="B98" s="34">
        <v>42930</v>
      </c>
      <c r="L98" s="30"/>
    </row>
    <row r="99" spans="1:12" outlineLevel="1" x14ac:dyDescent="0.35">
      <c r="A99" s="94" t="s">
        <v>93</v>
      </c>
      <c r="B99" s="95"/>
      <c r="C99" s="48"/>
      <c r="D99" s="52"/>
      <c r="E99" s="52"/>
      <c r="F99" s="52"/>
      <c r="G99" s="89">
        <f>SUBTOTAL(9,G85:G98)</f>
        <v>0</v>
      </c>
      <c r="H99" s="89">
        <f>SUBTOTAL(9,H85:H98)</f>
        <v>0</v>
      </c>
      <c r="I99" s="89">
        <f>SUBTOTAL(9,I85:I98)</f>
        <v>0</v>
      </c>
      <c r="J99" s="89"/>
      <c r="K99" s="89">
        <f>SUBTOTAL(9,K85:K98)</f>
        <v>0</v>
      </c>
      <c r="L99" s="53"/>
    </row>
    <row r="100" spans="1:12" outlineLevel="2" x14ac:dyDescent="0.35">
      <c r="A100" s="70" t="str">
        <f>CHOOSE(MONTH(B100),"Janv","Févr","Mars","Avril","Mai","Juin","Juill","Aout","Sept","Oct","Nov","Déc")</f>
        <v>Aout</v>
      </c>
      <c r="B100" s="34">
        <v>42948</v>
      </c>
      <c r="L100" s="30"/>
    </row>
    <row r="101" spans="1:12" outlineLevel="2" x14ac:dyDescent="0.35">
      <c r="A101" s="70" t="str">
        <f t="shared" ref="A101:A116" si="7">CHOOSE(MONTH(B101),"Janv","Févr","Mars","Avril","Mai","Juin","Juill","Aout","Sept","Oct","Nov","Déc")</f>
        <v>Aout</v>
      </c>
      <c r="B101" s="34">
        <v>42949</v>
      </c>
      <c r="L101" s="30"/>
    </row>
    <row r="102" spans="1:12" outlineLevel="2" x14ac:dyDescent="0.35">
      <c r="A102" s="70" t="str">
        <f t="shared" si="7"/>
        <v>Aout</v>
      </c>
      <c r="B102" s="34">
        <v>42950</v>
      </c>
      <c r="L102" s="30"/>
    </row>
    <row r="103" spans="1:12" outlineLevel="2" x14ac:dyDescent="0.35">
      <c r="A103" s="70" t="str">
        <f t="shared" si="7"/>
        <v>Aout</v>
      </c>
      <c r="B103" s="34">
        <v>42951</v>
      </c>
      <c r="L103" s="30"/>
    </row>
    <row r="104" spans="1:12" outlineLevel="2" x14ac:dyDescent="0.35">
      <c r="A104" s="70" t="str">
        <f t="shared" si="7"/>
        <v>Aout</v>
      </c>
      <c r="B104" s="34">
        <v>42952</v>
      </c>
      <c r="L104" s="30"/>
    </row>
    <row r="105" spans="1:12" outlineLevel="2" x14ac:dyDescent="0.35">
      <c r="A105" s="70" t="str">
        <f t="shared" si="7"/>
        <v>Aout</v>
      </c>
      <c r="B105" s="34">
        <v>42953</v>
      </c>
      <c r="L105" s="30"/>
    </row>
    <row r="106" spans="1:12" outlineLevel="2" x14ac:dyDescent="0.35">
      <c r="A106" s="70" t="str">
        <f t="shared" si="7"/>
        <v>Aout</v>
      </c>
      <c r="B106" s="34">
        <v>42954</v>
      </c>
      <c r="L106" s="30"/>
    </row>
    <row r="107" spans="1:12" outlineLevel="2" x14ac:dyDescent="0.35">
      <c r="A107" s="70" t="str">
        <f t="shared" si="7"/>
        <v>Aout</v>
      </c>
      <c r="B107" s="34">
        <v>42955</v>
      </c>
      <c r="L107" s="30"/>
    </row>
    <row r="108" spans="1:12" outlineLevel="2" x14ac:dyDescent="0.35">
      <c r="A108" s="70" t="str">
        <f t="shared" si="7"/>
        <v>Aout</v>
      </c>
      <c r="B108" s="34">
        <v>42956</v>
      </c>
      <c r="L108" s="30"/>
    </row>
    <row r="109" spans="1:12" outlineLevel="2" x14ac:dyDescent="0.35">
      <c r="A109" s="70" t="str">
        <f t="shared" si="7"/>
        <v>Aout</v>
      </c>
      <c r="B109" s="34">
        <v>42957</v>
      </c>
      <c r="L109" s="30"/>
    </row>
    <row r="110" spans="1:12" outlineLevel="2" x14ac:dyDescent="0.35">
      <c r="A110" s="70" t="str">
        <f t="shared" si="7"/>
        <v>Aout</v>
      </c>
      <c r="B110" s="34">
        <v>42958</v>
      </c>
      <c r="L110" s="30"/>
    </row>
    <row r="111" spans="1:12" outlineLevel="2" x14ac:dyDescent="0.35">
      <c r="A111" s="70" t="str">
        <f t="shared" si="7"/>
        <v>Aout</v>
      </c>
      <c r="B111" s="34">
        <v>42959</v>
      </c>
      <c r="L111" s="30"/>
    </row>
    <row r="112" spans="1:12" outlineLevel="2" x14ac:dyDescent="0.35">
      <c r="A112" s="70" t="str">
        <f t="shared" si="7"/>
        <v>Aout</v>
      </c>
      <c r="B112" s="34">
        <v>42960</v>
      </c>
      <c r="L112" s="30"/>
    </row>
    <row r="113" spans="1:12" outlineLevel="2" x14ac:dyDescent="0.35">
      <c r="A113" s="70" t="str">
        <f t="shared" si="7"/>
        <v>Aout</v>
      </c>
      <c r="B113" s="34">
        <v>42961</v>
      </c>
      <c r="L113" s="30"/>
    </row>
    <row r="114" spans="1:12" outlineLevel="2" x14ac:dyDescent="0.35">
      <c r="A114" s="70" t="str">
        <f t="shared" si="7"/>
        <v>Aout</v>
      </c>
      <c r="B114" s="34">
        <v>42962</v>
      </c>
      <c r="L114" s="30"/>
    </row>
    <row r="115" spans="1:12" outlineLevel="2" x14ac:dyDescent="0.35">
      <c r="A115" s="70" t="str">
        <f t="shared" si="7"/>
        <v>Aout</v>
      </c>
      <c r="B115" s="34">
        <v>42963</v>
      </c>
      <c r="L115" s="30"/>
    </row>
    <row r="116" spans="1:12" outlineLevel="2" x14ac:dyDescent="0.35">
      <c r="A116" s="70" t="str">
        <f t="shared" si="7"/>
        <v>Aout</v>
      </c>
      <c r="B116" s="34">
        <v>42964</v>
      </c>
      <c r="L116" s="30"/>
    </row>
    <row r="117" spans="1:12" outlineLevel="1" x14ac:dyDescent="0.35">
      <c r="A117" s="94" t="s">
        <v>94</v>
      </c>
      <c r="B117" s="95"/>
      <c r="C117" s="48"/>
      <c r="D117" s="52"/>
      <c r="E117" s="52"/>
      <c r="F117" s="52"/>
      <c r="G117" s="89">
        <f>SUBTOTAL(9,G100:G116)</f>
        <v>0</v>
      </c>
      <c r="H117" s="89">
        <f>SUBTOTAL(9,H100:H116)</f>
        <v>0</v>
      </c>
      <c r="I117" s="89">
        <f>SUBTOTAL(9,I100:I116)</f>
        <v>0</v>
      </c>
      <c r="J117" s="89"/>
      <c r="K117" s="89">
        <f>SUBTOTAL(9,K100:K116)</f>
        <v>0</v>
      </c>
      <c r="L117" s="53"/>
    </row>
    <row r="118" spans="1:12" outlineLevel="2" x14ac:dyDescent="0.35">
      <c r="A118" s="70" t="str">
        <f>CHOOSE(MONTH(B118),"Janv","Févr","Mars","Avril","Mai","Juin","Juill","Aout","Sept","Oct","Nov","Déc")</f>
        <v>Sept</v>
      </c>
      <c r="B118" s="34">
        <v>42979</v>
      </c>
      <c r="L118" s="30"/>
    </row>
    <row r="119" spans="1:12" outlineLevel="2" x14ac:dyDescent="0.35">
      <c r="A119" s="70" t="str">
        <f t="shared" ref="A119:A132" si="8">CHOOSE(MONTH(B119),"Janv","Févr","Mars","Avril","Mai","Juin","Juill","Aout","Sept","Oct","Nov","Déc")</f>
        <v>Sept</v>
      </c>
      <c r="B119" s="34">
        <v>42980</v>
      </c>
      <c r="L119" s="30"/>
    </row>
    <row r="120" spans="1:12" outlineLevel="2" x14ac:dyDescent="0.35">
      <c r="A120" s="70" t="str">
        <f t="shared" si="8"/>
        <v>Sept</v>
      </c>
      <c r="B120" s="34">
        <v>42981</v>
      </c>
      <c r="L120" s="30"/>
    </row>
    <row r="121" spans="1:12" outlineLevel="2" x14ac:dyDescent="0.35">
      <c r="A121" s="70" t="str">
        <f t="shared" si="8"/>
        <v>Sept</v>
      </c>
      <c r="B121" s="34">
        <v>42982</v>
      </c>
      <c r="L121" s="30"/>
    </row>
    <row r="122" spans="1:12" outlineLevel="2" x14ac:dyDescent="0.35">
      <c r="A122" s="70" t="str">
        <f t="shared" si="8"/>
        <v>Sept</v>
      </c>
      <c r="B122" s="34">
        <v>42983</v>
      </c>
      <c r="L122" s="30"/>
    </row>
    <row r="123" spans="1:12" outlineLevel="2" x14ac:dyDescent="0.35">
      <c r="A123" s="70" t="str">
        <f t="shared" si="8"/>
        <v>Sept</v>
      </c>
      <c r="B123" s="34">
        <v>42984</v>
      </c>
      <c r="L123" s="30"/>
    </row>
    <row r="124" spans="1:12" outlineLevel="2" x14ac:dyDescent="0.35">
      <c r="A124" s="70" t="str">
        <f t="shared" si="8"/>
        <v>Sept</v>
      </c>
      <c r="B124" s="34">
        <v>42985</v>
      </c>
      <c r="L124" s="30"/>
    </row>
    <row r="125" spans="1:12" outlineLevel="2" x14ac:dyDescent="0.35">
      <c r="A125" s="70" t="str">
        <f t="shared" si="8"/>
        <v>Sept</v>
      </c>
      <c r="B125" s="34">
        <v>42986</v>
      </c>
      <c r="L125" s="30"/>
    </row>
    <row r="126" spans="1:12" outlineLevel="2" x14ac:dyDescent="0.35">
      <c r="A126" s="70" t="str">
        <f t="shared" si="8"/>
        <v>Sept</v>
      </c>
      <c r="B126" s="34">
        <v>42987</v>
      </c>
      <c r="L126" s="30"/>
    </row>
    <row r="127" spans="1:12" outlineLevel="2" x14ac:dyDescent="0.35">
      <c r="A127" s="70" t="str">
        <f t="shared" si="8"/>
        <v>Sept</v>
      </c>
      <c r="B127" s="34">
        <v>42988</v>
      </c>
      <c r="L127" s="30"/>
    </row>
    <row r="128" spans="1:12" outlineLevel="2" x14ac:dyDescent="0.35">
      <c r="A128" s="70" t="str">
        <f t="shared" si="8"/>
        <v>Sept</v>
      </c>
      <c r="B128" s="34">
        <v>42989</v>
      </c>
      <c r="L128" s="30"/>
    </row>
    <row r="129" spans="1:12" outlineLevel="2" x14ac:dyDescent="0.35">
      <c r="A129" s="70" t="str">
        <f t="shared" si="8"/>
        <v>Sept</v>
      </c>
      <c r="B129" s="34">
        <v>42990</v>
      </c>
      <c r="L129" s="30"/>
    </row>
    <row r="130" spans="1:12" outlineLevel="2" x14ac:dyDescent="0.35">
      <c r="A130" s="70" t="str">
        <f t="shared" si="8"/>
        <v>Sept</v>
      </c>
      <c r="B130" s="34">
        <v>42991</v>
      </c>
      <c r="L130" s="30"/>
    </row>
    <row r="131" spans="1:12" outlineLevel="2" x14ac:dyDescent="0.35">
      <c r="A131" s="70" t="str">
        <f t="shared" si="8"/>
        <v>Sept</v>
      </c>
      <c r="B131" s="34">
        <v>42992</v>
      </c>
      <c r="L131" s="30"/>
    </row>
    <row r="132" spans="1:12" outlineLevel="2" x14ac:dyDescent="0.35">
      <c r="A132" s="70" t="str">
        <f t="shared" si="8"/>
        <v>Sept</v>
      </c>
      <c r="B132" s="34">
        <v>42993</v>
      </c>
      <c r="L132" s="30"/>
    </row>
    <row r="133" spans="1:12" outlineLevel="1" x14ac:dyDescent="0.35">
      <c r="A133" s="94" t="s">
        <v>95</v>
      </c>
      <c r="B133" s="95"/>
      <c r="C133" s="48"/>
      <c r="D133" s="52"/>
      <c r="E133" s="52"/>
      <c r="F133" s="52"/>
      <c r="G133" s="89">
        <f>SUBTOTAL(9,G118:G132)</f>
        <v>0</v>
      </c>
      <c r="H133" s="89">
        <f>SUBTOTAL(9,H118:H132)</f>
        <v>0</v>
      </c>
      <c r="I133" s="89">
        <f>SUBTOTAL(9,I118:I132)</f>
        <v>0</v>
      </c>
      <c r="J133" s="89"/>
      <c r="K133" s="89">
        <f>SUBTOTAL(9,K118:K132)</f>
        <v>0</v>
      </c>
      <c r="L133" s="53"/>
    </row>
    <row r="134" spans="1:12" outlineLevel="2" x14ac:dyDescent="0.35">
      <c r="A134" s="70" t="str">
        <f>CHOOSE(MONTH(B134),"Janv","Févr","Mars","Avril","Mai","Juin","Juill","Aout","Sept","Oct","Nov","Déc")</f>
        <v>Oct</v>
      </c>
      <c r="B134" s="34">
        <v>43009</v>
      </c>
      <c r="L134" s="30"/>
    </row>
    <row r="135" spans="1:12" outlineLevel="2" x14ac:dyDescent="0.35">
      <c r="A135" s="70" t="str">
        <f t="shared" ref="A135:A148" si="9">CHOOSE(MONTH(B135),"Janv","Févr","Mars","Avril","Mai","Juin","Juill","Aout","Sept","Oct","Nov","Déc")</f>
        <v>Oct</v>
      </c>
      <c r="B135" s="34">
        <v>43010</v>
      </c>
      <c r="L135" s="30"/>
    </row>
    <row r="136" spans="1:12" outlineLevel="2" x14ac:dyDescent="0.35">
      <c r="A136" s="70" t="str">
        <f t="shared" si="9"/>
        <v>Oct</v>
      </c>
      <c r="B136" s="34">
        <v>43011</v>
      </c>
      <c r="L136" s="30"/>
    </row>
    <row r="137" spans="1:12" outlineLevel="2" x14ac:dyDescent="0.35">
      <c r="A137" s="70" t="str">
        <f t="shared" si="9"/>
        <v>Oct</v>
      </c>
      <c r="B137" s="34">
        <v>43012</v>
      </c>
      <c r="L137" s="30"/>
    </row>
    <row r="138" spans="1:12" outlineLevel="2" x14ac:dyDescent="0.35">
      <c r="A138" s="70" t="str">
        <f t="shared" si="9"/>
        <v>Oct</v>
      </c>
      <c r="B138" s="34">
        <v>43013</v>
      </c>
      <c r="L138" s="30"/>
    </row>
    <row r="139" spans="1:12" outlineLevel="2" x14ac:dyDescent="0.35">
      <c r="A139" s="70" t="str">
        <f t="shared" si="9"/>
        <v>Oct</v>
      </c>
      <c r="B139" s="34">
        <v>43014</v>
      </c>
      <c r="L139" s="30"/>
    </row>
    <row r="140" spans="1:12" outlineLevel="2" x14ac:dyDescent="0.35">
      <c r="A140" s="70" t="str">
        <f t="shared" si="9"/>
        <v>Oct</v>
      </c>
      <c r="B140" s="34">
        <v>43015</v>
      </c>
      <c r="L140" s="30"/>
    </row>
    <row r="141" spans="1:12" outlineLevel="2" x14ac:dyDescent="0.35">
      <c r="A141" s="70" t="str">
        <f t="shared" si="9"/>
        <v>Oct</v>
      </c>
      <c r="B141" s="34">
        <v>43016</v>
      </c>
      <c r="L141" s="30"/>
    </row>
    <row r="142" spans="1:12" outlineLevel="2" x14ac:dyDescent="0.35">
      <c r="A142" s="70" t="str">
        <f t="shared" si="9"/>
        <v>Oct</v>
      </c>
      <c r="B142" s="34">
        <v>43017</v>
      </c>
      <c r="L142" s="30"/>
    </row>
    <row r="143" spans="1:12" outlineLevel="2" x14ac:dyDescent="0.35">
      <c r="A143" s="70" t="str">
        <f t="shared" si="9"/>
        <v>Oct</v>
      </c>
      <c r="B143" s="34">
        <v>43018</v>
      </c>
      <c r="L143" s="30"/>
    </row>
    <row r="144" spans="1:12" outlineLevel="2" x14ac:dyDescent="0.35">
      <c r="A144" s="70" t="str">
        <f t="shared" si="9"/>
        <v>Oct</v>
      </c>
      <c r="B144" s="34">
        <v>43019</v>
      </c>
      <c r="L144" s="30"/>
    </row>
    <row r="145" spans="1:12" outlineLevel="2" x14ac:dyDescent="0.35">
      <c r="A145" s="70" t="str">
        <f t="shared" si="9"/>
        <v>Oct</v>
      </c>
      <c r="B145" s="34">
        <v>43020</v>
      </c>
      <c r="L145" s="30"/>
    </row>
    <row r="146" spans="1:12" outlineLevel="2" x14ac:dyDescent="0.35">
      <c r="A146" s="70" t="str">
        <f t="shared" si="9"/>
        <v>Oct</v>
      </c>
      <c r="B146" s="34">
        <v>43021</v>
      </c>
      <c r="L146" s="30"/>
    </row>
    <row r="147" spans="1:12" outlineLevel="2" x14ac:dyDescent="0.35">
      <c r="A147" s="70" t="str">
        <f t="shared" si="9"/>
        <v>Oct</v>
      </c>
      <c r="B147" s="34">
        <v>43022</v>
      </c>
      <c r="L147" s="30"/>
    </row>
    <row r="148" spans="1:12" outlineLevel="2" x14ac:dyDescent="0.35">
      <c r="A148" s="70" t="str">
        <f t="shared" si="9"/>
        <v>Oct</v>
      </c>
      <c r="B148" s="34">
        <v>43023</v>
      </c>
      <c r="L148" s="30"/>
    </row>
    <row r="149" spans="1:12" outlineLevel="1" x14ac:dyDescent="0.35">
      <c r="A149" s="94" t="s">
        <v>96</v>
      </c>
      <c r="B149" s="95"/>
      <c r="C149" s="48"/>
      <c r="D149" s="52"/>
      <c r="E149" s="52"/>
      <c r="F149" s="52"/>
      <c r="G149" s="89">
        <f>SUBTOTAL(9,G134:G148)</f>
        <v>0</v>
      </c>
      <c r="H149" s="89">
        <f>SUBTOTAL(9,H134:H148)</f>
        <v>0</v>
      </c>
      <c r="I149" s="89">
        <f>SUBTOTAL(9,I134:I148)</f>
        <v>0</v>
      </c>
      <c r="J149" s="89"/>
      <c r="K149" s="89">
        <f>SUBTOTAL(9,K134:K148)</f>
        <v>0</v>
      </c>
      <c r="L149" s="53"/>
    </row>
    <row r="150" spans="1:12" outlineLevel="2" x14ac:dyDescent="0.35">
      <c r="A150" s="70" t="str">
        <f>CHOOSE(MONTH(B150),"Janv","Févr","Mars","Avril","Mai","Juin","Juill","Aout","Sept","Oct","Nov","Déc")</f>
        <v>Nov</v>
      </c>
      <c r="B150" s="34">
        <v>43040</v>
      </c>
      <c r="L150" s="30"/>
    </row>
    <row r="151" spans="1:12" outlineLevel="2" x14ac:dyDescent="0.35">
      <c r="A151" s="70" t="str">
        <f t="shared" ref="A151:A166" si="10">CHOOSE(MONTH(B151),"Janv","Févr","Mars","Avril","Mai","Juin","Juill","Aout","Sept","Oct","Nov","Déc")</f>
        <v>Nov</v>
      </c>
      <c r="B151" s="34">
        <v>43041</v>
      </c>
      <c r="L151" s="30"/>
    </row>
    <row r="152" spans="1:12" outlineLevel="2" x14ac:dyDescent="0.35">
      <c r="A152" s="70" t="str">
        <f t="shared" si="10"/>
        <v>Nov</v>
      </c>
      <c r="B152" s="34">
        <v>43042</v>
      </c>
      <c r="L152" s="30"/>
    </row>
    <row r="153" spans="1:12" outlineLevel="2" x14ac:dyDescent="0.35">
      <c r="A153" s="70" t="str">
        <f t="shared" si="10"/>
        <v>Nov</v>
      </c>
      <c r="B153" s="34">
        <v>43043</v>
      </c>
      <c r="L153" s="30"/>
    </row>
    <row r="154" spans="1:12" outlineLevel="2" x14ac:dyDescent="0.35">
      <c r="A154" s="70" t="str">
        <f t="shared" si="10"/>
        <v>Nov</v>
      </c>
      <c r="B154" s="34">
        <v>43044</v>
      </c>
      <c r="L154" s="30"/>
    </row>
    <row r="155" spans="1:12" outlineLevel="2" x14ac:dyDescent="0.35">
      <c r="A155" s="70" t="str">
        <f t="shared" si="10"/>
        <v>Nov</v>
      </c>
      <c r="B155" s="34">
        <v>43045</v>
      </c>
      <c r="L155" s="30"/>
    </row>
    <row r="156" spans="1:12" outlineLevel="2" x14ac:dyDescent="0.35">
      <c r="A156" s="70" t="str">
        <f t="shared" si="10"/>
        <v>Nov</v>
      </c>
      <c r="B156" s="34">
        <v>43046</v>
      </c>
      <c r="L156" s="30"/>
    </row>
    <row r="157" spans="1:12" outlineLevel="2" x14ac:dyDescent="0.35">
      <c r="A157" s="70" t="str">
        <f t="shared" si="10"/>
        <v>Nov</v>
      </c>
      <c r="B157" s="34">
        <v>43047</v>
      </c>
      <c r="L157" s="30"/>
    </row>
    <row r="158" spans="1:12" outlineLevel="2" x14ac:dyDescent="0.35">
      <c r="A158" s="70" t="str">
        <f t="shared" si="10"/>
        <v>Nov</v>
      </c>
      <c r="B158" s="34">
        <v>43048</v>
      </c>
      <c r="L158" s="30"/>
    </row>
    <row r="159" spans="1:12" outlineLevel="2" x14ac:dyDescent="0.35">
      <c r="A159" s="70" t="str">
        <f t="shared" si="10"/>
        <v>Nov</v>
      </c>
      <c r="B159" s="34">
        <v>43049</v>
      </c>
      <c r="L159" s="30"/>
    </row>
    <row r="160" spans="1:12" outlineLevel="2" x14ac:dyDescent="0.35">
      <c r="A160" s="70" t="str">
        <f t="shared" si="10"/>
        <v>Nov</v>
      </c>
      <c r="B160" s="34">
        <v>43050</v>
      </c>
      <c r="L160" s="30"/>
    </row>
    <row r="161" spans="1:12" outlineLevel="2" x14ac:dyDescent="0.35">
      <c r="A161" s="70" t="str">
        <f t="shared" si="10"/>
        <v>Nov</v>
      </c>
      <c r="B161" s="34">
        <v>43051</v>
      </c>
      <c r="L161" s="30"/>
    </row>
    <row r="162" spans="1:12" outlineLevel="2" x14ac:dyDescent="0.35">
      <c r="A162" s="70" t="str">
        <f t="shared" si="10"/>
        <v>Nov</v>
      </c>
      <c r="B162" s="34">
        <v>43052</v>
      </c>
      <c r="L162" s="30"/>
    </row>
    <row r="163" spans="1:12" outlineLevel="2" x14ac:dyDescent="0.35">
      <c r="A163" s="70" t="str">
        <f t="shared" si="10"/>
        <v>Nov</v>
      </c>
      <c r="B163" s="34">
        <v>43053</v>
      </c>
      <c r="L163" s="30"/>
    </row>
    <row r="164" spans="1:12" outlineLevel="2" x14ac:dyDescent="0.35">
      <c r="A164" s="70" t="str">
        <f t="shared" si="10"/>
        <v>Nov</v>
      </c>
      <c r="B164" s="34">
        <v>43054</v>
      </c>
      <c r="L164" s="30"/>
    </row>
    <row r="165" spans="1:12" outlineLevel="2" x14ac:dyDescent="0.35">
      <c r="A165" s="70" t="str">
        <f t="shared" si="10"/>
        <v>Nov</v>
      </c>
      <c r="B165" s="34">
        <v>43055</v>
      </c>
      <c r="L165" s="30"/>
    </row>
    <row r="166" spans="1:12" outlineLevel="2" x14ac:dyDescent="0.35">
      <c r="A166" s="70" t="str">
        <f t="shared" si="10"/>
        <v>Nov</v>
      </c>
      <c r="B166" s="34">
        <v>43056</v>
      </c>
      <c r="L166" s="30"/>
    </row>
    <row r="167" spans="1:12" outlineLevel="1" x14ac:dyDescent="0.35">
      <c r="A167" s="94" t="s">
        <v>97</v>
      </c>
      <c r="B167" s="95"/>
      <c r="C167" s="48"/>
      <c r="D167" s="52"/>
      <c r="E167" s="52"/>
      <c r="F167" s="52"/>
      <c r="G167" s="89">
        <f>SUBTOTAL(9,G150:G166)</f>
        <v>0</v>
      </c>
      <c r="H167" s="89">
        <f>SUBTOTAL(9,H150:H166)</f>
        <v>0</v>
      </c>
      <c r="I167" s="89">
        <f>SUBTOTAL(9,I150:I166)</f>
        <v>0</v>
      </c>
      <c r="J167" s="89"/>
      <c r="K167" s="89">
        <f>SUBTOTAL(9,K150:K166)</f>
        <v>0</v>
      </c>
      <c r="L167" s="53"/>
    </row>
    <row r="168" spans="1:12" outlineLevel="2" x14ac:dyDescent="0.35">
      <c r="A168" s="70" t="str">
        <f>CHOOSE(MONTH(B168),"Janv","Févr","Mars","Avril","Mai","Juin","Juill","Aout","Sept","Oct","Nov","Déc")</f>
        <v>Déc</v>
      </c>
      <c r="B168" s="34">
        <v>43070</v>
      </c>
      <c r="L168" s="30"/>
    </row>
    <row r="169" spans="1:12" outlineLevel="2" x14ac:dyDescent="0.35">
      <c r="A169" s="70" t="str">
        <f t="shared" ref="A169:A181" si="11">CHOOSE(MONTH(B169),"Janv","Févr","Mars","Avril","Mai","Juin","Juill","Aout","Sept","Oct","Nov","Déc")</f>
        <v>Déc</v>
      </c>
      <c r="B169" s="34">
        <v>43071</v>
      </c>
      <c r="L169" s="30"/>
    </row>
    <row r="170" spans="1:12" outlineLevel="2" x14ac:dyDescent="0.35">
      <c r="A170" s="70" t="str">
        <f t="shared" si="11"/>
        <v>Déc</v>
      </c>
      <c r="B170" s="34">
        <v>43072</v>
      </c>
      <c r="L170" s="30"/>
    </row>
    <row r="171" spans="1:12" outlineLevel="2" x14ac:dyDescent="0.35">
      <c r="A171" s="70" t="str">
        <f t="shared" si="11"/>
        <v>Déc</v>
      </c>
      <c r="B171" s="34">
        <v>43073</v>
      </c>
      <c r="L171" s="30"/>
    </row>
    <row r="172" spans="1:12" outlineLevel="2" x14ac:dyDescent="0.35">
      <c r="A172" s="70" t="str">
        <f t="shared" si="11"/>
        <v>Déc</v>
      </c>
      <c r="B172" s="34">
        <v>43074</v>
      </c>
      <c r="L172" s="30"/>
    </row>
    <row r="173" spans="1:12" outlineLevel="2" x14ac:dyDescent="0.35">
      <c r="A173" s="70" t="str">
        <f t="shared" si="11"/>
        <v>Déc</v>
      </c>
      <c r="B173" s="34">
        <v>43075</v>
      </c>
      <c r="L173" s="30"/>
    </row>
    <row r="174" spans="1:12" outlineLevel="2" x14ac:dyDescent="0.35">
      <c r="A174" s="70" t="str">
        <f t="shared" si="11"/>
        <v>Déc</v>
      </c>
      <c r="B174" s="34">
        <v>43076</v>
      </c>
      <c r="L174" s="30"/>
    </row>
    <row r="175" spans="1:12" outlineLevel="2" x14ac:dyDescent="0.35">
      <c r="A175" s="70" t="str">
        <f t="shared" si="11"/>
        <v>Déc</v>
      </c>
      <c r="B175" s="34">
        <v>43077</v>
      </c>
      <c r="L175" s="30"/>
    </row>
    <row r="176" spans="1:12" outlineLevel="2" x14ac:dyDescent="0.35">
      <c r="A176" s="70" t="str">
        <f t="shared" si="11"/>
        <v>Déc</v>
      </c>
      <c r="B176" s="34">
        <v>43078</v>
      </c>
      <c r="L176" s="30"/>
    </row>
    <row r="177" spans="1:12" outlineLevel="2" x14ac:dyDescent="0.35">
      <c r="A177" s="70" t="str">
        <f t="shared" si="11"/>
        <v>Déc</v>
      </c>
      <c r="B177" s="34">
        <v>43079</v>
      </c>
      <c r="L177" s="30"/>
    </row>
    <row r="178" spans="1:12" outlineLevel="2" x14ac:dyDescent="0.35">
      <c r="A178" s="70" t="str">
        <f t="shared" si="11"/>
        <v>Déc</v>
      </c>
      <c r="B178" s="34">
        <v>43080</v>
      </c>
      <c r="L178" s="30"/>
    </row>
    <row r="179" spans="1:12" outlineLevel="2" x14ac:dyDescent="0.35">
      <c r="A179" s="70" t="str">
        <f t="shared" si="11"/>
        <v>Déc</v>
      </c>
      <c r="B179" s="34">
        <v>43081</v>
      </c>
      <c r="L179" s="30"/>
    </row>
    <row r="180" spans="1:12" outlineLevel="2" x14ac:dyDescent="0.35">
      <c r="A180" s="70" t="str">
        <f t="shared" si="11"/>
        <v>Déc</v>
      </c>
      <c r="B180" s="34">
        <v>43082</v>
      </c>
      <c r="L180" s="30"/>
    </row>
    <row r="181" spans="1:12" outlineLevel="2" x14ac:dyDescent="0.35">
      <c r="A181" s="70" t="str">
        <f t="shared" si="11"/>
        <v>Déc</v>
      </c>
      <c r="B181" s="34">
        <v>43083</v>
      </c>
      <c r="L181" s="30"/>
    </row>
    <row r="182" spans="1:12" outlineLevel="1" x14ac:dyDescent="0.35">
      <c r="A182" s="110" t="s">
        <v>98</v>
      </c>
      <c r="B182" s="111"/>
      <c r="C182" s="46"/>
      <c r="D182" s="45"/>
      <c r="E182" s="45"/>
      <c r="F182" s="45"/>
      <c r="G182" s="90">
        <f>SUBTOTAL(9,G168:G181)</f>
        <v>0</v>
      </c>
      <c r="H182" s="90">
        <f>SUBTOTAL(9,H168:H181)</f>
        <v>0</v>
      </c>
      <c r="I182" s="90">
        <f>SUBTOTAL(9,I168:I181)</f>
        <v>0</v>
      </c>
      <c r="J182" s="90"/>
      <c r="K182" s="90">
        <f>SUBTOTAL(9,K168:K181)</f>
        <v>0</v>
      </c>
      <c r="L182" s="47"/>
    </row>
    <row r="183" spans="1:12" x14ac:dyDescent="0.35">
      <c r="A183" s="108" t="s">
        <v>78</v>
      </c>
      <c r="B183" s="109"/>
      <c r="C183" s="50"/>
      <c r="D183" s="51"/>
      <c r="E183" s="51"/>
      <c r="F183" s="51"/>
      <c r="G183" s="91">
        <f>SUBTOTAL(9,G2:G181)</f>
        <v>57346.580000000009</v>
      </c>
      <c r="H183" s="91">
        <f>SUBTOTAL(9,H2:H181)</f>
        <v>1015</v>
      </c>
      <c r="I183" s="91">
        <f>SUBTOTAL(9,I2:I181)</f>
        <v>56331.580000000009</v>
      </c>
      <c r="J183" s="91"/>
      <c r="K183" s="92">
        <f>SUBTOTAL(9,K2:K181)</f>
        <v>64038.58</v>
      </c>
      <c r="L183" s="49"/>
    </row>
  </sheetData>
  <mergeCells count="2">
    <mergeCell ref="A183:B183"/>
    <mergeCell ref="A182:B182"/>
  </mergeCells>
  <conditionalFormatting sqref="C1:L1048576">
    <cfRule type="expression" dxfId="19" priority="9">
      <formula>$L1="HK"</formula>
    </cfRule>
    <cfRule type="expression" dxfId="18" priority="10">
      <formula>$L1="MV"</formula>
    </cfRule>
    <cfRule type="expression" dxfId="17" priority="11">
      <formula>$L1="BP"</formula>
    </cfRule>
    <cfRule type="expression" dxfId="16" priority="12">
      <formula>$L1="LUM"</formula>
    </cfRule>
  </conditionalFormatting>
  <printOptions horizontalCentered="1" verticalCentered="1"/>
  <pageMargins left="3.937007874015748E-2" right="3.937007874015748E-2" top="0.55118110236220474" bottom="0.55118110236220474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R14"/>
  <sheetViews>
    <sheetView workbookViewId="0">
      <selection activeCell="B5" sqref="B5"/>
    </sheetView>
  </sheetViews>
  <sheetFormatPr baseColWidth="10" defaultColWidth="11.453125" defaultRowHeight="14.5" x14ac:dyDescent="0.35"/>
  <cols>
    <col min="1" max="1" width="13.1796875" style="22" customWidth="1"/>
    <col min="2" max="2" width="15.81640625" style="22" customWidth="1"/>
    <col min="3" max="3" width="11.453125" style="22"/>
    <col min="4" max="4" width="20" style="22" customWidth="1"/>
    <col min="5" max="6" width="11.453125" style="22"/>
    <col min="7" max="7" width="12.1796875" style="22" customWidth="1"/>
    <col min="8" max="16384" width="11.453125" style="22"/>
  </cols>
  <sheetData>
    <row r="1" spans="1:18" ht="16" thickBot="1" x14ac:dyDescent="0.4">
      <c r="A1" s="102"/>
      <c r="B1" s="97" t="s">
        <v>27</v>
      </c>
      <c r="C1" s="98" t="s">
        <v>28</v>
      </c>
      <c r="D1" s="99" t="s">
        <v>29</v>
      </c>
      <c r="E1" s="100" t="s">
        <v>30</v>
      </c>
      <c r="F1" s="101" t="s">
        <v>111</v>
      </c>
      <c r="G1" s="106" t="s">
        <v>113</v>
      </c>
      <c r="H1" s="20"/>
      <c r="I1" s="20"/>
      <c r="J1" s="20"/>
      <c r="K1" s="20"/>
      <c r="L1" s="20"/>
      <c r="N1" s="20"/>
      <c r="O1" s="21"/>
      <c r="P1" s="20"/>
      <c r="R1" s="6"/>
    </row>
    <row r="2" spans="1:18" x14ac:dyDescent="0.35">
      <c r="A2" s="103" t="s">
        <v>99</v>
      </c>
      <c r="B2" s="93">
        <f>SUMIFS(CA!$G$2:$G$181,CA!$L$2:$L$181,"HK",CA!$A$2:$A$181,"Janv")</f>
        <v>5810.18</v>
      </c>
      <c r="C2" s="93">
        <f>SUMIFS(CA!$G$2:$G$181,CA!$L$2:$L$181,"LUM",CA!$A$2:$A$181,"Janv")</f>
        <v>4570.5600000000004</v>
      </c>
      <c r="D2" s="93">
        <f>SUMIFS(CA!$G$2:$G$181,CA!$L$2:$L$181,"BP",CA!$A$2:$A$181,"Janv")</f>
        <v>1637</v>
      </c>
      <c r="E2" s="93">
        <f>SUMIFS(CA!$G$2:$G$181,CA!$L$2:$L$181,"MV",CA!$A$2:$A$181,"Janv")</f>
        <v>0</v>
      </c>
      <c r="F2" s="93">
        <f>SUMIFS(CA!$G$2:$G$181,CA!$L$2:$L$181,"",CA!$A$2:$A$181,"Janv")</f>
        <v>0</v>
      </c>
      <c r="G2" s="104">
        <f>SUM(B2:F2)</f>
        <v>12017.740000000002</v>
      </c>
      <c r="H2" s="20"/>
      <c r="I2" s="20"/>
      <c r="J2" s="20"/>
      <c r="K2" s="20"/>
      <c r="L2" s="20"/>
    </row>
    <row r="3" spans="1:18" x14ac:dyDescent="0.35">
      <c r="A3" s="103" t="s">
        <v>100</v>
      </c>
      <c r="B3" s="93">
        <f>SUMIFS(CA!$G$2:$G$181,CA!$L$2:$L$181,"HK",CA!$A$2:$A$181,"Févr")</f>
        <v>7350.72</v>
      </c>
      <c r="C3" s="93">
        <f>SUMIFS(CA!$G$2:$G$181,CA!$L$2:$L$181,"LUM",CA!$A$2:$A$181,"Févr")</f>
        <v>5200.8</v>
      </c>
      <c r="D3" s="93">
        <f>SUMIFS(CA!$G$2:$G$181,CA!$L$2:$L$181,"BP",CA!$A$2:$A$181,"Févr")</f>
        <v>294.89999999999998</v>
      </c>
      <c r="E3" s="93">
        <f>SUMIFS(CA!$G$2:$G$181,CA!$L$2:$L$181,"MV",CA!$A$2:$A$181,"Févr")</f>
        <v>5692.5</v>
      </c>
      <c r="F3" s="93">
        <f>SUMIFS(CA!$G$2:$G$181,CA!$L$2:$L$181,"",CA!$A$2:$A$181,"Févr")</f>
        <v>3333.33</v>
      </c>
      <c r="G3" s="104">
        <f t="shared" ref="G3:G14" si="0">SUM(B3:F3)</f>
        <v>21872.25</v>
      </c>
      <c r="H3" s="20"/>
      <c r="I3" s="20"/>
      <c r="J3" s="20"/>
      <c r="K3" s="20"/>
      <c r="L3" s="20"/>
    </row>
    <row r="4" spans="1:18" x14ac:dyDescent="0.35">
      <c r="A4" s="103" t="s">
        <v>101</v>
      </c>
      <c r="B4" s="93">
        <f>SUMIFS(CA!$G$2:$G$181,CA!$L$2:$L$181,"HK",CA!$A$2:$A$181,"Mars")</f>
        <v>9181.18</v>
      </c>
      <c r="C4" s="93">
        <f>SUMIFS(CA!$G$2:$G$181,CA!$L$2:$L$181,"LUM",CA!$A$2:$A$181,"Mars")</f>
        <v>9194</v>
      </c>
      <c r="D4" s="93">
        <f>SUMIFS(CA!$G$2:$G$181,CA!$L$2:$L$181,"BP",CA!$A$2:$A$181,"Mars")</f>
        <v>2099.41</v>
      </c>
      <c r="E4" s="93">
        <f>SUMIFS(CA!$G$2:$G$181,CA!$L$2:$L$181,"MV",CA!$A$2:$A$181,"Mars")</f>
        <v>2982</v>
      </c>
      <c r="F4" s="93">
        <f>SUMIFS(CA!$G$2:$G$181,CA!$L$2:$L$181,"",CA!$A$2:$A$181,"Mars")</f>
        <v>0</v>
      </c>
      <c r="G4" s="104">
        <f t="shared" si="0"/>
        <v>23456.59</v>
      </c>
    </row>
    <row r="5" spans="1:18" x14ac:dyDescent="0.35">
      <c r="A5" s="103" t="s">
        <v>102</v>
      </c>
      <c r="B5" s="93">
        <f>SUMIFS(CA!$G$2:$G$181,CA!$L$2:$L$181,"HK",CA!$A$2:$A$181,"Avril")</f>
        <v>0</v>
      </c>
      <c r="C5" s="93">
        <f>SUMIFS(CA!$G$2:$G$181,CA!$L$2:$L$181,"LUM",CA!$A$2:$A$181,"Avril")</f>
        <v>0</v>
      </c>
      <c r="D5" s="93">
        <f>SUMIFS(CA!$G$2:$G$181,CA!$L$2:$L$181,"BP",CA!$A$2:$A$181,"Avril")</f>
        <v>0</v>
      </c>
      <c r="E5" s="93">
        <f>SUMIFS(CA!$G$2:$G$181,CA!$L$2:$L$181,"MV",CA!$A$2:$A$181,"Avril")</f>
        <v>0</v>
      </c>
      <c r="F5" s="93">
        <f>SUMIFS(CA!$G$2:$G$181,CA!$L$2:$L$181,"",CA!$A$2:$A$181,"Avril")</f>
        <v>0</v>
      </c>
      <c r="G5" s="104">
        <f t="shared" si="0"/>
        <v>0</v>
      </c>
    </row>
    <row r="6" spans="1:18" x14ac:dyDescent="0.35">
      <c r="A6" s="103" t="s">
        <v>103</v>
      </c>
      <c r="B6" s="93">
        <f>SUMIFS(CA!$G$2:$G$181,CA!$L$2:$L$181,"HK",CA!$A$2:$A$181,"Mai")</f>
        <v>0</v>
      </c>
      <c r="C6" s="93">
        <f>SUMIFS(CA!$G$2:$G$181,CA!$L$2:$L$181,"LUM",CA!$A$2:$A$181,"Mai")</f>
        <v>0</v>
      </c>
      <c r="D6" s="93">
        <f>SUMIFS(CA!$G$2:$G$181,CA!$L$2:$L$181,"BP",CA!$A$2:$A$181,"Mai")</f>
        <v>0</v>
      </c>
      <c r="E6" s="93">
        <f>SUMIFS(CA!$G$2:$G$181,CA!$L$2:$L$181,"MV",CA!$A$2:$A$181,"Mai")</f>
        <v>0</v>
      </c>
      <c r="F6" s="93">
        <f>SUMIFS(CA!$G$2:$G$181,CA!$L$2:$L$181,"",CA!$A$2:$A$181,"Mai")</f>
        <v>0</v>
      </c>
      <c r="G6" s="104">
        <f t="shared" si="0"/>
        <v>0</v>
      </c>
    </row>
    <row r="7" spans="1:18" x14ac:dyDescent="0.35">
      <c r="A7" s="103" t="s">
        <v>104</v>
      </c>
      <c r="B7" s="93">
        <f>SUMIFS(CA!$G$2:$G$181,CA!$L$2:$L$181,"HK",CA!$A$2:$A$181,"Juin")</f>
        <v>0</v>
      </c>
      <c r="C7" s="93">
        <f>SUMIFS(CA!$G$2:$G$181,CA!$L$2:$L$181,"LUM",CA!$A$2:$A$181,"Juin")</f>
        <v>0</v>
      </c>
      <c r="D7" s="93">
        <f>SUMIFS(CA!$G$2:$G$181,CA!$L$2:$L$181,"BP",CA!$A$2:$A$181,"Juin")</f>
        <v>0</v>
      </c>
      <c r="E7" s="93">
        <f>SUMIFS(CA!$G$2:$G$181,CA!$L$2:$L$181,"MV",CA!$A$2:$A$181,"Juin")</f>
        <v>0</v>
      </c>
      <c r="F7" s="93">
        <f>SUMIFS(CA!$G$2:$G$181,CA!$L$2:$L$181,"",CA!$A$2:$A$181,"Juin")</f>
        <v>0</v>
      </c>
      <c r="G7" s="104">
        <f t="shared" si="0"/>
        <v>0</v>
      </c>
    </row>
    <row r="8" spans="1:18" x14ac:dyDescent="0.35">
      <c r="A8" s="103" t="s">
        <v>105</v>
      </c>
      <c r="B8" s="93">
        <f>SUMIFS(CA!$G$2:$G$181,CA!$L$2:$L$181,"HK",CA!$A$2:$A$181,"Juil")</f>
        <v>0</v>
      </c>
      <c r="C8" s="93">
        <f>SUMIFS(CA!$G$2:$G$181,CA!$L$2:$L$181,"LUM",CA!$A$2:$A$181,"Juil")</f>
        <v>0</v>
      </c>
      <c r="D8" s="93">
        <f>SUMIFS(CA!$G$2:$G$181,CA!$L$2:$L$181,"BP",CA!$A$2:$A$181,"Juil")</f>
        <v>0</v>
      </c>
      <c r="E8" s="93">
        <f>SUMIFS(CA!$G$2:$G$181,CA!$L$2:$L$181,"MV",CA!$A$2:$A$181,"Juil")</f>
        <v>0</v>
      </c>
      <c r="F8" s="93">
        <f>SUMIFS(CA!$G$2:$G$181,CA!$L$2:$L$181,"",CA!$A$2:$A$181,"Juil")</f>
        <v>0</v>
      </c>
      <c r="G8" s="104">
        <f t="shared" si="0"/>
        <v>0</v>
      </c>
    </row>
    <row r="9" spans="1:18" x14ac:dyDescent="0.35">
      <c r="A9" s="103" t="s">
        <v>106</v>
      </c>
      <c r="B9" s="93">
        <f>SUMIFS(CA!$G$2:$G$181,CA!$L$2:$L$181,"HK",CA!$A$2:$A$181,"Aout")</f>
        <v>0</v>
      </c>
      <c r="C9" s="93">
        <f>SUMIFS(CA!$G$2:$G$181,CA!$L$2:$L$181,"LUM",CA!$A$2:$A$181,"Aout")</f>
        <v>0</v>
      </c>
      <c r="D9" s="93">
        <f>SUMIFS(CA!$G$2:$G$181,CA!$L$2:$L$181,"BP",CA!$A$2:$A$181,"Aout")</f>
        <v>0</v>
      </c>
      <c r="E9" s="93">
        <f>SUMIFS(CA!$G$2:$G$181,CA!$L$2:$L$181,"MV",CA!$A$2:$A$181,"Aout")</f>
        <v>0</v>
      </c>
      <c r="F9" s="93">
        <f>SUMIFS(CA!$G$2:$G$181,CA!$L$2:$L$181,"",CA!$A$2:$A$181,"Aout")</f>
        <v>0</v>
      </c>
      <c r="G9" s="104">
        <f t="shared" si="0"/>
        <v>0</v>
      </c>
    </row>
    <row r="10" spans="1:18" x14ac:dyDescent="0.35">
      <c r="A10" s="103" t="s">
        <v>107</v>
      </c>
      <c r="B10" s="93">
        <f>SUMIFS(CA!$G$2:$G$181,CA!$L$2:$L$181,"HK",CA!$A$2:$A$181,"Sept")</f>
        <v>0</v>
      </c>
      <c r="C10" s="93">
        <f>SUMIFS(CA!$G$2:$G$181,CA!$L$2:$L$181,"LUM",CA!$A$2:$A$181,"Sept")</f>
        <v>0</v>
      </c>
      <c r="D10" s="93">
        <f>SUMIFS(CA!$G$2:$G$181,CA!$L$2:$L$181,"BP",CA!$A$2:$A$181,"Sept")</f>
        <v>0</v>
      </c>
      <c r="E10" s="93">
        <f>SUMIFS(CA!$G$2:$G$181,CA!$L$2:$L$181,"MV",CA!$A$2:$A$181,"Sept")</f>
        <v>0</v>
      </c>
      <c r="F10" s="93">
        <f>SUMIFS(CA!$G$2:$G$181,CA!$L$2:$L$181,"",CA!$A$2:$A$181,"Sept")</f>
        <v>0</v>
      </c>
      <c r="G10" s="104">
        <f t="shared" si="0"/>
        <v>0</v>
      </c>
    </row>
    <row r="11" spans="1:18" x14ac:dyDescent="0.35">
      <c r="A11" s="103" t="s">
        <v>108</v>
      </c>
      <c r="B11" s="93">
        <f>SUMIFS(CA!$G$2:$G$181,CA!$L$2:$L$181,"HK",CA!$A$2:$A$181,"Oct")</f>
        <v>0</v>
      </c>
      <c r="C11" s="93">
        <f>SUMIFS(CA!$G$2:$G$181,CA!$L$2:$L$181,"LUM",CA!$A$2:$A$181,"Oct")</f>
        <v>0</v>
      </c>
      <c r="D11" s="93">
        <f>SUMIFS(CA!$G$2:$G$181,CA!$L$2:$L$181,"BP",CA!$A$2:$A$181,"Oct")</f>
        <v>0</v>
      </c>
      <c r="E11" s="93">
        <f>SUMIFS(CA!$G$2:$G$181,CA!$L$2:$L$181,"MV",CA!$A$2:$A$181,"Oct")</f>
        <v>0</v>
      </c>
      <c r="F11" s="93">
        <f>SUMIFS(CA!$G$2:$G$181,CA!$L$2:$L$181,"",CA!$A$2:$A$181,"Oct")</f>
        <v>0</v>
      </c>
      <c r="G11" s="104">
        <f t="shared" si="0"/>
        <v>0</v>
      </c>
    </row>
    <row r="12" spans="1:18" x14ac:dyDescent="0.35">
      <c r="A12" s="103" t="s">
        <v>109</v>
      </c>
      <c r="B12" s="93">
        <f>SUMIFS(CA!$G$2:$G$181,CA!$L$2:$L$181,"HK",CA!$A$2:$A$181,"Nov")</f>
        <v>0</v>
      </c>
      <c r="C12" s="93">
        <f>SUMIFS(CA!$G$2:$G$181,CA!$L$2:$L$181,"LUM",CA!$A$2:$A$181,"Nov")</f>
        <v>0</v>
      </c>
      <c r="D12" s="93">
        <f>SUMIFS(CA!$G$2:$G$181,CA!$L$2:$L$181,"BP",CA!$A$2:$A$181,"Nov")</f>
        <v>0</v>
      </c>
      <c r="E12" s="93">
        <f>SUMIFS(CA!$G$2:$G$181,CA!$L$2:$L$181,"MV",CA!$A$2:$A$181,"Nov")</f>
        <v>0</v>
      </c>
      <c r="F12" s="93">
        <f>SUMIFS(CA!$G$2:$G$181,CA!$L$2:$L$181,"",CA!$A$2:$A$181,"Nov")</f>
        <v>0</v>
      </c>
      <c r="G12" s="104">
        <f t="shared" si="0"/>
        <v>0</v>
      </c>
    </row>
    <row r="13" spans="1:18" ht="15" thickBot="1" x14ac:dyDescent="0.4">
      <c r="A13" s="103" t="s">
        <v>110</v>
      </c>
      <c r="B13" s="93">
        <f>SUMIFS(CA!$G$2:$G$181,CA!$L$2:$L$181,"HK",CA!$A$2:$A$181,"Déc")</f>
        <v>0</v>
      </c>
      <c r="C13" s="93">
        <f>SUMIFS(CA!$G$2:$G$181,CA!$L$2:$L$181,"LUM",CA!$A$2:$A$181,"Déc")</f>
        <v>0</v>
      </c>
      <c r="D13" s="93">
        <f>SUMIFS(CA!$G$2:$G$181,CA!$L$2:$L$181,"BP",CA!$A$2:$A$181,"Déc")</f>
        <v>0</v>
      </c>
      <c r="E13" s="93">
        <f>SUMIFS(CA!$G$2:$G$181,CA!$L$2:$L$181,"MV",CA!$A$2:$A$181,"Déc")</f>
        <v>0</v>
      </c>
      <c r="F13" s="93">
        <f>SUMIFS(CA!$G$2:$G$181,CA!$L$2:$L$181,"",CA!$A$2:$A$181,"Déc")</f>
        <v>0</v>
      </c>
      <c r="G13" s="104">
        <f t="shared" si="0"/>
        <v>0</v>
      </c>
    </row>
    <row r="14" spans="1:18" ht="15" thickTop="1" x14ac:dyDescent="0.35">
      <c r="A14" s="107" t="s">
        <v>112</v>
      </c>
      <c r="B14" s="105">
        <f>SUM(B2:B13)</f>
        <v>22342.080000000002</v>
      </c>
      <c r="C14" s="105">
        <f t="shared" ref="C14:E14" si="1">SUM(C2:C13)</f>
        <v>18965.36</v>
      </c>
      <c r="D14" s="105">
        <f t="shared" si="1"/>
        <v>4031.31</v>
      </c>
      <c r="E14" s="105">
        <f t="shared" si="1"/>
        <v>8674.5</v>
      </c>
      <c r="F14" s="105">
        <f>SUM(F2:F13)</f>
        <v>3333.33</v>
      </c>
      <c r="G14" s="96">
        <f t="shared" si="0"/>
        <v>57346.58</v>
      </c>
    </row>
  </sheetData>
  <pageMargins left="0.7" right="0.7" top="0.75" bottom="0.75" header="0.3" footer="0.3"/>
  <pageSetup paperSize="9" orientation="portrait" r:id="rId1"/>
  <ignoredErrors>
    <ignoredError sqref="B2:F13 G2: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J1"/>
  <sheetViews>
    <sheetView workbookViewId="0">
      <selection sqref="A1:J1"/>
    </sheetView>
  </sheetViews>
  <sheetFormatPr baseColWidth="10" defaultRowHeight="14.5" x14ac:dyDescent="0.35"/>
  <sheetData>
    <row r="1" spans="1:10" x14ac:dyDescent="0.35">
      <c r="A1" s="66" t="s">
        <v>20</v>
      </c>
      <c r="B1" s="67" t="s">
        <v>72</v>
      </c>
      <c r="C1" s="67" t="s">
        <v>21</v>
      </c>
      <c r="D1" s="67" t="s">
        <v>22</v>
      </c>
      <c r="E1" s="68" t="s">
        <v>80</v>
      </c>
      <c r="F1" s="72" t="s">
        <v>23</v>
      </c>
      <c r="G1" s="72" t="s">
        <v>24</v>
      </c>
      <c r="H1" s="72" t="s">
        <v>81</v>
      </c>
      <c r="I1" s="72" t="s">
        <v>25</v>
      </c>
      <c r="J1" s="73" t="s">
        <v>26</v>
      </c>
    </row>
  </sheetData>
  <conditionalFormatting sqref="B1:J1">
    <cfRule type="expression" dxfId="15" priority="1">
      <formula>$L1="HK"</formula>
    </cfRule>
    <cfRule type="expression" dxfId="14" priority="2">
      <formula>$L1="MV"</formula>
    </cfRule>
    <cfRule type="expression" dxfId="13" priority="3">
      <formula>$L1="BP"</formula>
    </cfRule>
    <cfRule type="expression" dxfId="12" priority="4">
      <formula>$L1="LUM"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J1"/>
  <sheetViews>
    <sheetView workbookViewId="0">
      <selection sqref="A1:J1"/>
    </sheetView>
  </sheetViews>
  <sheetFormatPr baseColWidth="10" defaultRowHeight="14.5" x14ac:dyDescent="0.35"/>
  <sheetData>
    <row r="1" spans="1:10" x14ac:dyDescent="0.35">
      <c r="A1" s="66" t="s">
        <v>20</v>
      </c>
      <c r="B1" s="67" t="s">
        <v>72</v>
      </c>
      <c r="C1" s="67" t="s">
        <v>21</v>
      </c>
      <c r="D1" s="67" t="s">
        <v>22</v>
      </c>
      <c r="E1" s="68" t="s">
        <v>80</v>
      </c>
      <c r="F1" s="72" t="s">
        <v>23</v>
      </c>
      <c r="G1" s="72" t="s">
        <v>24</v>
      </c>
      <c r="H1" s="72" t="s">
        <v>81</v>
      </c>
      <c r="I1" s="72" t="s">
        <v>25</v>
      </c>
      <c r="J1" s="73" t="s">
        <v>26</v>
      </c>
    </row>
  </sheetData>
  <conditionalFormatting sqref="B1:J1">
    <cfRule type="expression" dxfId="11" priority="1">
      <formula>$L1="HK"</formula>
    </cfRule>
    <cfRule type="expression" dxfId="10" priority="2">
      <formula>$L1="MV"</formula>
    </cfRule>
    <cfRule type="expression" dxfId="9" priority="3">
      <formula>$L1="BP"</formula>
    </cfRule>
    <cfRule type="expression" dxfId="8" priority="4">
      <formula>$L1="LUM"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J1"/>
  <sheetViews>
    <sheetView workbookViewId="0">
      <selection sqref="A1:J1"/>
    </sheetView>
  </sheetViews>
  <sheetFormatPr baseColWidth="10" defaultRowHeight="14.5" x14ac:dyDescent="0.35"/>
  <sheetData>
    <row r="1" spans="1:10" x14ac:dyDescent="0.35">
      <c r="A1" s="66" t="s">
        <v>20</v>
      </c>
      <c r="B1" s="67" t="s">
        <v>72</v>
      </c>
      <c r="C1" s="67" t="s">
        <v>21</v>
      </c>
      <c r="D1" s="67" t="s">
        <v>22</v>
      </c>
      <c r="E1" s="68" t="s">
        <v>80</v>
      </c>
      <c r="F1" s="72" t="s">
        <v>23</v>
      </c>
      <c r="G1" s="72" t="s">
        <v>24</v>
      </c>
      <c r="H1" s="72" t="s">
        <v>81</v>
      </c>
      <c r="I1" s="72" t="s">
        <v>25</v>
      </c>
      <c r="J1" s="73" t="s">
        <v>26</v>
      </c>
    </row>
  </sheetData>
  <conditionalFormatting sqref="B1:J1">
    <cfRule type="expression" dxfId="7" priority="1">
      <formula>$L1="HK"</formula>
    </cfRule>
    <cfRule type="expression" dxfId="6" priority="2">
      <formula>$L1="MV"</formula>
    </cfRule>
    <cfRule type="expression" dxfId="5" priority="3">
      <formula>$L1="BP"</formula>
    </cfRule>
    <cfRule type="expression" dxfId="4" priority="4">
      <formula>$L1="LUM"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J10" sqref="J10"/>
    </sheetView>
  </sheetViews>
  <sheetFormatPr baseColWidth="10" defaultRowHeight="14.5" x14ac:dyDescent="0.35"/>
  <sheetData>
    <row r="1" spans="1:10" x14ac:dyDescent="0.35">
      <c r="A1" s="66" t="s">
        <v>20</v>
      </c>
      <c r="B1" s="67" t="s">
        <v>72</v>
      </c>
      <c r="C1" s="67" t="s">
        <v>21</v>
      </c>
      <c r="D1" s="67" t="s">
        <v>22</v>
      </c>
      <c r="E1" s="68" t="s">
        <v>80</v>
      </c>
      <c r="F1" s="72" t="s">
        <v>23</v>
      </c>
      <c r="G1" s="72" t="s">
        <v>24</v>
      </c>
      <c r="H1" s="72" t="s">
        <v>81</v>
      </c>
      <c r="I1" s="72" t="s">
        <v>25</v>
      </c>
      <c r="J1" s="73" t="s">
        <v>26</v>
      </c>
    </row>
  </sheetData>
  <conditionalFormatting sqref="B1:J1">
    <cfRule type="expression" dxfId="3" priority="1">
      <formula>$L1="HK"</formula>
    </cfRule>
    <cfRule type="expression" dxfId="2" priority="2">
      <formula>$L1="MV"</formula>
    </cfRule>
    <cfRule type="expression" dxfId="1" priority="3">
      <formula>$L1="BP"</formula>
    </cfRule>
    <cfRule type="expression" dxfId="0" priority="4">
      <formula>$L1="LUM"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CA</vt:lpstr>
      <vt:lpstr>CA par activité</vt:lpstr>
      <vt:lpstr>Lumick</vt:lpstr>
      <vt:lpstr>Ben-Pro</vt:lpstr>
      <vt:lpstr>Miss Vache</vt:lpstr>
      <vt:lpstr>Autre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Bureau</cp:lastModifiedBy>
  <cp:lastPrinted>2017-04-05T09:22:20Z</cp:lastPrinted>
  <dcterms:created xsi:type="dcterms:W3CDTF">2017-01-30T14:21:13Z</dcterms:created>
  <dcterms:modified xsi:type="dcterms:W3CDTF">2017-04-14T10:36:12Z</dcterms:modified>
</cp:coreProperties>
</file>