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\Desktop\"/>
    </mc:Choice>
  </mc:AlternateContent>
  <bookViews>
    <workbookView xWindow="0" yWindow="0" windowWidth="24000" windowHeight="9735" tabRatio="902"/>
  </bookViews>
  <sheets>
    <sheet name="Dépenses BP 2017" sheetId="6" r:id="rId1"/>
    <sheet name="Recettes BP 2017" sheetId="12" r:id="rId2"/>
    <sheet name="Ss-bdt MDE - Dep" sheetId="8" r:id="rId3"/>
    <sheet name="Ss-bgt MDE - Res" sheetId="10" r:id="rId4"/>
    <sheet name="Ss-bgt MDE - Synthèse" sheetId="9" r:id="rId5"/>
    <sheet name="BUDGET INNOVATION" sheetId="18" r:id="rId6"/>
    <sheet name="Ss-bgt ML - Dep" sheetId="15" r:id="rId7"/>
    <sheet name="Ss-bgt ML - Res" sheetId="14" r:id="rId8"/>
    <sheet name="Pense bête" sheetId="13" r:id="rId9"/>
    <sheet name="Notes - 28-10-13" sheetId="11" r:id="rId10"/>
    <sheet name="Feuil3" sheetId="16" r:id="rId11"/>
  </sheets>
  <externalReferences>
    <externalReference r:id="rId12"/>
  </externalReferences>
  <definedNames>
    <definedName name="B">#REF!</definedName>
    <definedName name="Excel_BuiltIn_Print_Area_5_1">#REF!</definedName>
    <definedName name="Excel_BuiltIn_Print_Area_6_1">#REF!</definedName>
    <definedName name="mois">"$#REF !.$F$2"</definedName>
    <definedName name="_xlnm.Print_Area" localSheetId="0">'Dépenses BP 2017'!$A$1:$BL$131</definedName>
    <definedName name="_xlnm.Print_Area" localSheetId="1">'Recettes BP 2017'!$A$1:$X$54</definedName>
    <definedName name="_xlnm.Print_Area" localSheetId="4">'Ss-bgt MDE - Synthèse'!$A$1:$R$30</definedName>
  </definedNames>
  <calcPr calcId="152511"/>
</workbook>
</file>

<file path=xl/calcChain.xml><?xml version="1.0" encoding="utf-8"?>
<calcChain xmlns="http://schemas.openxmlformats.org/spreadsheetml/2006/main">
  <c r="AU106" i="6" l="1"/>
  <c r="AU105" i="6"/>
  <c r="AU104" i="6"/>
  <c r="AU103" i="6"/>
  <c r="AU102" i="6"/>
  <c r="AU101" i="6"/>
  <c r="AU94" i="6"/>
  <c r="AU91" i="6"/>
  <c r="AU89" i="6"/>
  <c r="AU88" i="6"/>
  <c r="AU87" i="6"/>
  <c r="AU86" i="6"/>
  <c r="AU85" i="6"/>
  <c r="AU84" i="6"/>
  <c r="AU83" i="6"/>
  <c r="AU81" i="6"/>
  <c r="AU80" i="6"/>
  <c r="AU79" i="6"/>
  <c r="AU78" i="6"/>
  <c r="AU77" i="6"/>
  <c r="AU76" i="6"/>
  <c r="AU73" i="6"/>
  <c r="AU69" i="6"/>
  <c r="AU67" i="6"/>
  <c r="AU66" i="6"/>
  <c r="AU64" i="6"/>
  <c r="AU63" i="6"/>
  <c r="AV130" i="6"/>
  <c r="AV129" i="6"/>
  <c r="AV128" i="6"/>
  <c r="AV126" i="6"/>
  <c r="AV121" i="6"/>
  <c r="AV120" i="6"/>
  <c r="AV119" i="6"/>
  <c r="AV118" i="6"/>
  <c r="AV117" i="6"/>
  <c r="AV115" i="6"/>
  <c r="AV112" i="6"/>
  <c r="AV110" i="6"/>
  <c r="AV109" i="6"/>
  <c r="AV106" i="6"/>
  <c r="AV105" i="6"/>
  <c r="AV104" i="6"/>
  <c r="AV103" i="6"/>
  <c r="AV102" i="6"/>
  <c r="AV101" i="6"/>
  <c r="AV94" i="6"/>
  <c r="AV91" i="6"/>
  <c r="AV89" i="6"/>
  <c r="AV88" i="6"/>
  <c r="AV87" i="6"/>
  <c r="AV86" i="6"/>
  <c r="AV85" i="6"/>
  <c r="AV84" i="6"/>
  <c r="AV83" i="6"/>
  <c r="AV81" i="6"/>
  <c r="AV80" i="6"/>
  <c r="AV79" i="6"/>
  <c r="AV78" i="6"/>
  <c r="AV77" i="6"/>
  <c r="AV76" i="6"/>
  <c r="AV73" i="6"/>
  <c r="AV69" i="6"/>
  <c r="AV67" i="6"/>
  <c r="AV66" i="6"/>
  <c r="AV64" i="6"/>
  <c r="AV63" i="6"/>
  <c r="AV62" i="6"/>
  <c r="AU62" i="6"/>
  <c r="AU60" i="6"/>
  <c r="AU59" i="6"/>
  <c r="AU57" i="6"/>
  <c r="AU56" i="6"/>
  <c r="AU15" i="6"/>
  <c r="AU14" i="6"/>
  <c r="AU12" i="6"/>
  <c r="AU11" i="6"/>
  <c r="AU9" i="6"/>
  <c r="AU8" i="6"/>
  <c r="AU7" i="6"/>
  <c r="P22" i="6"/>
  <c r="M22" i="6"/>
  <c r="BA13" i="6"/>
  <c r="AV13" i="6"/>
  <c r="AD13" i="6"/>
  <c r="AA13" i="6"/>
  <c r="P13" i="6"/>
  <c r="M13" i="6"/>
  <c r="D13" i="6"/>
  <c r="M52" i="6" l="1"/>
  <c r="Z52" i="12" l="1"/>
  <c r="B148" i="6"/>
  <c r="J148" i="6"/>
  <c r="D55" i="6"/>
  <c r="M10" i="6"/>
  <c r="M16" i="6"/>
  <c r="O19" i="6"/>
  <c r="N9" i="6"/>
  <c r="AQ9" i="8" s="1"/>
  <c r="N8" i="6"/>
  <c r="K11" i="6"/>
  <c r="U11" i="8" s="1"/>
  <c r="K9" i="6"/>
  <c r="K8" i="6"/>
  <c r="P16" i="6"/>
  <c r="P24" i="9"/>
  <c r="AA28" i="6"/>
  <c r="AD28" i="6"/>
  <c r="AA40" i="6"/>
  <c r="AG40" i="6"/>
  <c r="BJ51" i="6"/>
  <c r="Y51" i="6" s="1"/>
  <c r="BJ50" i="6"/>
  <c r="AA19" i="6"/>
  <c r="BP19" i="6" s="1"/>
  <c r="S19" i="6"/>
  <c r="S6" i="6" s="1"/>
  <c r="AV58" i="6"/>
  <c r="AV55" i="6"/>
  <c r="AD52" i="6"/>
  <c r="P37" i="6"/>
  <c r="AG34" i="6"/>
  <c r="AA10" i="6"/>
  <c r="AV10" i="6"/>
  <c r="AD10" i="6"/>
  <c r="P10" i="6"/>
  <c r="BI7" i="6"/>
  <c r="AA7" i="6"/>
  <c r="BC58" i="6"/>
  <c r="BI58" i="6" s="1"/>
  <c r="BC55" i="6"/>
  <c r="AD58" i="6"/>
  <c r="AR58" i="6" s="1"/>
  <c r="AA55" i="6"/>
  <c r="AA52" i="6"/>
  <c r="AD46" i="6"/>
  <c r="AR46" i="6"/>
  <c r="AA46" i="6"/>
  <c r="AD43" i="6"/>
  <c r="AD6" i="6" s="1"/>
  <c r="AA37" i="6"/>
  <c r="AA34" i="6"/>
  <c r="AA25" i="6"/>
  <c r="AA16" i="6"/>
  <c r="P58" i="6"/>
  <c r="AS55" i="8" s="1"/>
  <c r="M58" i="6"/>
  <c r="K58" i="6" s="1"/>
  <c r="P55" i="6"/>
  <c r="P52" i="6"/>
  <c r="N54" i="6" s="1"/>
  <c r="P34" i="6"/>
  <c r="AS34" i="8" s="1"/>
  <c r="BJ49" i="6"/>
  <c r="BJ60" i="6"/>
  <c r="BJ59" i="6"/>
  <c r="BJ58" i="6"/>
  <c r="BJ57" i="6"/>
  <c r="BJ56" i="6"/>
  <c r="BJ55" i="6"/>
  <c r="AN55" i="6" s="1"/>
  <c r="BJ54" i="6"/>
  <c r="BJ53" i="6"/>
  <c r="BJ52" i="6"/>
  <c r="BJ48" i="6"/>
  <c r="BJ47" i="6"/>
  <c r="BJ46" i="6"/>
  <c r="BJ45" i="6"/>
  <c r="BJ44" i="6"/>
  <c r="BJ43" i="6"/>
  <c r="BJ42" i="6"/>
  <c r="BJ41" i="6"/>
  <c r="BJ40" i="6"/>
  <c r="BJ39" i="6"/>
  <c r="N39" i="6" s="1"/>
  <c r="T39" i="6" s="1"/>
  <c r="BJ38" i="6"/>
  <c r="N38" i="6" s="1"/>
  <c r="T38" i="6" s="1"/>
  <c r="BJ37" i="6"/>
  <c r="BJ36" i="6"/>
  <c r="BJ35" i="6"/>
  <c r="BJ34" i="6"/>
  <c r="BD34" i="6" s="1"/>
  <c r="BG34" i="6" s="1"/>
  <c r="BJ33" i="6"/>
  <c r="BJ32" i="6"/>
  <c r="Y32" i="6" s="1"/>
  <c r="BJ31" i="6"/>
  <c r="BJ30" i="6"/>
  <c r="BJ29" i="6"/>
  <c r="BJ28" i="6"/>
  <c r="AK28" i="6" s="1"/>
  <c r="BJ27" i="6"/>
  <c r="BJ26" i="6"/>
  <c r="BJ25" i="6"/>
  <c r="BJ24" i="6"/>
  <c r="BJ23" i="6"/>
  <c r="BJ22" i="6"/>
  <c r="BJ20" i="6"/>
  <c r="BJ19" i="6"/>
  <c r="K19" i="6" s="1"/>
  <c r="BJ17" i="6"/>
  <c r="BJ16" i="6"/>
  <c r="BJ18" i="6"/>
  <c r="N18" i="6" s="1"/>
  <c r="AQ18" i="8" s="1"/>
  <c r="BJ21" i="6"/>
  <c r="Q21" i="6" s="1"/>
  <c r="BJ15" i="6"/>
  <c r="BJ14" i="6"/>
  <c r="B14" i="6" s="1"/>
  <c r="BJ13" i="6"/>
  <c r="J10" i="12"/>
  <c r="J6" i="12" s="1"/>
  <c r="BJ98" i="6"/>
  <c r="BJ96" i="6"/>
  <c r="BJ129" i="6"/>
  <c r="K17" i="12"/>
  <c r="J38" i="12"/>
  <c r="Y45" i="12"/>
  <c r="BJ92" i="6"/>
  <c r="AQ94" i="8"/>
  <c r="AT94" i="8" s="1"/>
  <c r="AR94" i="8"/>
  <c r="K97" i="6"/>
  <c r="P18" i="10"/>
  <c r="H18" i="12"/>
  <c r="D28" i="9"/>
  <c r="O28" i="9"/>
  <c r="AT8" i="8"/>
  <c r="AT9" i="8"/>
  <c r="AT11" i="8"/>
  <c r="AT12" i="8"/>
  <c r="AT14" i="8"/>
  <c r="AT15" i="8"/>
  <c r="AT17" i="8"/>
  <c r="AT18" i="8"/>
  <c r="AT19" i="8"/>
  <c r="AT20" i="8"/>
  <c r="AT21" i="8"/>
  <c r="AT23" i="8"/>
  <c r="AT24" i="8"/>
  <c r="AT26" i="8"/>
  <c r="AT27" i="8"/>
  <c r="AT28" i="8"/>
  <c r="AT29" i="8"/>
  <c r="AT30" i="8"/>
  <c r="AT31" i="8"/>
  <c r="AT32" i="8"/>
  <c r="AT33" i="8"/>
  <c r="AT35" i="8"/>
  <c r="AT36" i="8"/>
  <c r="AT38" i="8"/>
  <c r="AT39" i="8"/>
  <c r="AT40" i="8"/>
  <c r="AT41" i="8"/>
  <c r="AT42" i="8"/>
  <c r="AT43" i="8"/>
  <c r="AT44" i="8"/>
  <c r="AT45" i="8"/>
  <c r="AT46" i="8"/>
  <c r="AT47" i="8"/>
  <c r="AT48" i="8"/>
  <c r="AT50" i="8"/>
  <c r="AT51" i="8"/>
  <c r="AT53" i="8"/>
  <c r="AT54" i="8"/>
  <c r="AT56" i="8"/>
  <c r="AT57" i="8"/>
  <c r="AT65" i="8"/>
  <c r="AT67" i="8"/>
  <c r="AT69" i="8"/>
  <c r="AT71" i="8"/>
  <c r="AT79" i="8"/>
  <c r="AT87" i="8"/>
  <c r="AT89" i="8"/>
  <c r="AT92" i="8"/>
  <c r="AT96" i="8"/>
  <c r="AT97" i="8"/>
  <c r="AT105" i="8"/>
  <c r="AT111" i="8"/>
  <c r="AT112" i="8"/>
  <c r="AT120" i="8"/>
  <c r="AT122" i="8"/>
  <c r="AT126" i="8"/>
  <c r="AP6" i="8"/>
  <c r="AJ6" i="8"/>
  <c r="AF6" i="8"/>
  <c r="AE6" i="8"/>
  <c r="W13" i="8"/>
  <c r="P13" i="8" s="1"/>
  <c r="G54" i="6"/>
  <c r="K51" i="8" s="1"/>
  <c r="G53" i="6"/>
  <c r="K50" i="8" s="1"/>
  <c r="I13" i="6"/>
  <c r="G12" i="6"/>
  <c r="K12" i="8" s="1"/>
  <c r="G11" i="6"/>
  <c r="K11" i="8" s="1"/>
  <c r="G9" i="6"/>
  <c r="K9" i="8" s="1"/>
  <c r="G8" i="6"/>
  <c r="K8" i="8"/>
  <c r="H13" i="8"/>
  <c r="C13" i="8" s="1"/>
  <c r="BJ57" i="8"/>
  <c r="BJ7" i="6"/>
  <c r="P47" i="12"/>
  <c r="X47" i="12" s="1"/>
  <c r="Y47" i="12"/>
  <c r="P48" i="12"/>
  <c r="BA100" i="6"/>
  <c r="H28" i="12"/>
  <c r="AB28" i="10" s="1"/>
  <c r="BP46" i="6"/>
  <c r="BP31" i="6"/>
  <c r="CA31" i="6" s="1"/>
  <c r="CA8" i="6"/>
  <c r="AF13" i="6"/>
  <c r="AE14" i="6" s="1"/>
  <c r="BB10" i="6"/>
  <c r="CA14" i="6"/>
  <c r="CA15" i="6"/>
  <c r="AF10" i="6"/>
  <c r="AE10" i="6"/>
  <c r="AE7" i="6"/>
  <c r="AB7" i="6"/>
  <c r="F40" i="10"/>
  <c r="P46" i="12"/>
  <c r="X46" i="12" s="1"/>
  <c r="Y46" i="12"/>
  <c r="A13" i="8"/>
  <c r="BJ73" i="6"/>
  <c r="BJ72" i="6"/>
  <c r="B84" i="9"/>
  <c r="B41" i="10"/>
  <c r="X33" i="10"/>
  <c r="A96" i="6"/>
  <c r="B113" i="8"/>
  <c r="G95" i="8"/>
  <c r="B116" i="6"/>
  <c r="F113" i="8"/>
  <c r="T39" i="12"/>
  <c r="X48" i="12"/>
  <c r="N24" i="10"/>
  <c r="M25" i="10"/>
  <c r="M24" i="10" s="1"/>
  <c r="N6" i="10"/>
  <c r="M18" i="10"/>
  <c r="O27" i="10"/>
  <c r="T27" i="10" s="1"/>
  <c r="P5" i="10"/>
  <c r="O5" i="10"/>
  <c r="H32" i="12"/>
  <c r="R31" i="12"/>
  <c r="S23" i="9"/>
  <c r="Q24" i="9"/>
  <c r="W34" i="10"/>
  <c r="W31" i="10" s="1"/>
  <c r="R26" i="9"/>
  <c r="V97" i="8"/>
  <c r="U108" i="8"/>
  <c r="O108" i="8" s="1"/>
  <c r="V108" i="8"/>
  <c r="BJ65" i="8"/>
  <c r="BJ67" i="8"/>
  <c r="BJ69" i="8"/>
  <c r="BJ71" i="8"/>
  <c r="BJ79" i="8"/>
  <c r="BJ89" i="8"/>
  <c r="BJ92" i="8"/>
  <c r="BJ111" i="8"/>
  <c r="BJ112" i="8"/>
  <c r="BJ120" i="8"/>
  <c r="BJ126" i="8"/>
  <c r="BJ8" i="8"/>
  <c r="BJ9" i="8"/>
  <c r="BJ11" i="8"/>
  <c r="BJ12" i="8"/>
  <c r="BJ17" i="8"/>
  <c r="BJ18" i="8"/>
  <c r="BJ20" i="8"/>
  <c r="BJ21" i="8"/>
  <c r="BJ23" i="8"/>
  <c r="BJ24" i="8"/>
  <c r="BJ26" i="8"/>
  <c r="BJ27" i="8"/>
  <c r="BJ28" i="8"/>
  <c r="BJ29" i="8"/>
  <c r="BJ30" i="8"/>
  <c r="BJ31" i="8"/>
  <c r="BJ32" i="8"/>
  <c r="BJ33" i="8"/>
  <c r="BJ35" i="8"/>
  <c r="BJ36" i="8"/>
  <c r="BJ38" i="8"/>
  <c r="BJ39" i="8"/>
  <c r="BJ40" i="8"/>
  <c r="BJ41" i="8"/>
  <c r="BJ42" i="8"/>
  <c r="BJ43" i="8"/>
  <c r="BJ44" i="8"/>
  <c r="BJ45" i="8"/>
  <c r="BJ46" i="8"/>
  <c r="BJ47" i="8"/>
  <c r="BJ48" i="8"/>
  <c r="BJ50" i="8"/>
  <c r="BJ51" i="8"/>
  <c r="BJ53" i="8"/>
  <c r="BJ54" i="8"/>
  <c r="BJ56" i="8"/>
  <c r="U97" i="8"/>
  <c r="O97" i="8" s="1"/>
  <c r="T46" i="10"/>
  <c r="T34" i="10"/>
  <c r="X24" i="10"/>
  <c r="X19" i="10"/>
  <c r="X7" i="10"/>
  <c r="F39" i="12"/>
  <c r="H34" i="12"/>
  <c r="AB34" i="10" s="1"/>
  <c r="H27" i="12"/>
  <c r="H26" i="12"/>
  <c r="H25" i="12"/>
  <c r="H23" i="12"/>
  <c r="H8" i="12"/>
  <c r="G5" i="12"/>
  <c r="J9" i="9"/>
  <c r="X5" i="10"/>
  <c r="M3" i="10"/>
  <c r="K3" i="10"/>
  <c r="AZ128" i="8"/>
  <c r="BA128" i="8"/>
  <c r="BA124" i="8"/>
  <c r="BA121" i="8"/>
  <c r="BA90" i="8"/>
  <c r="AZ113" i="8"/>
  <c r="AY113" i="8"/>
  <c r="AZ108" i="8"/>
  <c r="AY108" i="8"/>
  <c r="AZ95" i="8"/>
  <c r="AY95" i="8"/>
  <c r="AZ93" i="8"/>
  <c r="AY93" i="8"/>
  <c r="AU93" i="8" s="1"/>
  <c r="BA68" i="8"/>
  <c r="BA62" i="8"/>
  <c r="BA58" i="8"/>
  <c r="T111" i="6"/>
  <c r="BX111" i="6"/>
  <c r="BY111" i="6" s="1"/>
  <c r="BX99" i="6"/>
  <c r="BY99" i="6" s="1"/>
  <c r="U116" i="6"/>
  <c r="BH113" i="8" s="1"/>
  <c r="U98" i="6"/>
  <c r="U90" i="6"/>
  <c r="BI84" i="15" s="1"/>
  <c r="BJ49" i="15"/>
  <c r="BJ22" i="15"/>
  <c r="AZ6" i="8"/>
  <c r="BA55" i="8"/>
  <c r="BA7" i="8"/>
  <c r="AU3" i="8"/>
  <c r="V3" i="10" s="1"/>
  <c r="AZ127" i="8"/>
  <c r="AZ125" i="8"/>
  <c r="AC3" i="8"/>
  <c r="Y3" i="8"/>
  <c r="I8" i="9"/>
  <c r="G8" i="9"/>
  <c r="Q29" i="9"/>
  <c r="Q21" i="9"/>
  <c r="N9" i="9"/>
  <c r="Q7" i="9"/>
  <c r="P7" i="9"/>
  <c r="L9" i="9"/>
  <c r="A47" i="10"/>
  <c r="A45" i="10"/>
  <c r="A43" i="10"/>
  <c r="A18" i="10"/>
  <c r="L6" i="12"/>
  <c r="L49" i="12"/>
  <c r="AE134" i="6" s="1"/>
  <c r="U6" i="12"/>
  <c r="R6" i="12"/>
  <c r="S6" i="12"/>
  <c r="O6" i="12"/>
  <c r="N6" i="12"/>
  <c r="Y18" i="12"/>
  <c r="P18" i="12"/>
  <c r="A15" i="10"/>
  <c r="A16" i="10"/>
  <c r="A8" i="10"/>
  <c r="Y48" i="12"/>
  <c r="W6" i="10"/>
  <c r="W5" i="10"/>
  <c r="AR93" i="8"/>
  <c r="AQ95" i="8"/>
  <c r="AT95" i="8" s="1"/>
  <c r="AR95" i="8"/>
  <c r="AQ108" i="8"/>
  <c r="AC108" i="8" s="1"/>
  <c r="AR108" i="8"/>
  <c r="AQ113" i="8"/>
  <c r="AT113" i="8" s="1"/>
  <c r="AR113" i="8"/>
  <c r="A129" i="6"/>
  <c r="A126" i="8" s="1"/>
  <c r="B105" i="8"/>
  <c r="BJ105" i="8" s="1"/>
  <c r="P43" i="12"/>
  <c r="X43" i="12" s="1"/>
  <c r="Y43" i="12"/>
  <c r="Y8" i="12"/>
  <c r="AT102" i="6"/>
  <c r="X102" i="6"/>
  <c r="A102" i="6"/>
  <c r="A99" i="8" s="1"/>
  <c r="BL129" i="6"/>
  <c r="X129" i="6"/>
  <c r="AT129" i="6"/>
  <c r="BV129" i="6" s="1"/>
  <c r="J29" i="12"/>
  <c r="P29" i="12"/>
  <c r="AB29" i="12" s="1"/>
  <c r="Y29" i="12"/>
  <c r="Y15" i="12"/>
  <c r="Y16" i="12"/>
  <c r="P16" i="12"/>
  <c r="X16" i="12" s="1"/>
  <c r="P15" i="12"/>
  <c r="X15" i="12" s="1"/>
  <c r="M6" i="12"/>
  <c r="M49" i="12" s="1"/>
  <c r="AH134" i="6" s="1"/>
  <c r="J21" i="16"/>
  <c r="H21" i="16"/>
  <c r="G21" i="16"/>
  <c r="F21" i="16"/>
  <c r="E21" i="16"/>
  <c r="D21" i="16"/>
  <c r="C21" i="16"/>
  <c r="I20" i="16"/>
  <c r="K20" i="16" s="1"/>
  <c r="K19" i="16"/>
  <c r="I18" i="16"/>
  <c r="K18" i="16"/>
  <c r="I17" i="16"/>
  <c r="K17" i="16"/>
  <c r="I16" i="16"/>
  <c r="K16" i="16"/>
  <c r="I15" i="16"/>
  <c r="K15" i="16"/>
  <c r="I14" i="16"/>
  <c r="K14" i="16"/>
  <c r="I13" i="16"/>
  <c r="K13" i="16"/>
  <c r="I12" i="16"/>
  <c r="K12" i="16"/>
  <c r="I11" i="16"/>
  <c r="K11" i="16"/>
  <c r="I10" i="16"/>
  <c r="K9" i="16"/>
  <c r="I8" i="16"/>
  <c r="K8" i="16"/>
  <c r="I7" i="16"/>
  <c r="K7" i="16"/>
  <c r="I6" i="16"/>
  <c r="K6" i="16"/>
  <c r="I5" i="16"/>
  <c r="K5" i="16"/>
  <c r="A47" i="14"/>
  <c r="X46" i="14"/>
  <c r="T46" i="14"/>
  <c r="B46" i="14"/>
  <c r="D46" i="14" s="1"/>
  <c r="A46" i="14"/>
  <c r="X45" i="14"/>
  <c r="T45" i="14"/>
  <c r="B45" i="14"/>
  <c r="D45" i="14"/>
  <c r="A45" i="14"/>
  <c r="T44" i="14"/>
  <c r="B44" i="14"/>
  <c r="A44" i="14"/>
  <c r="T43" i="14"/>
  <c r="C43" i="14"/>
  <c r="C6" i="14"/>
  <c r="C47" i="14"/>
  <c r="A43" i="14"/>
  <c r="X42" i="14"/>
  <c r="T42" i="14"/>
  <c r="A41" i="14"/>
  <c r="M40" i="14"/>
  <c r="T40" i="14"/>
  <c r="G40" i="14"/>
  <c r="I40" i="14"/>
  <c r="A40" i="14"/>
  <c r="A39" i="14"/>
  <c r="Q38" i="14"/>
  <c r="N38" i="14"/>
  <c r="T38" i="14" s="1"/>
  <c r="N6" i="14"/>
  <c r="N47" i="14" s="1"/>
  <c r="M38" i="14"/>
  <c r="G38" i="14"/>
  <c r="I38" i="14" s="1"/>
  <c r="A38" i="14"/>
  <c r="A36" i="14"/>
  <c r="A35" i="14"/>
  <c r="A34" i="14"/>
  <c r="A32" i="14"/>
  <c r="A31" i="14"/>
  <c r="A30" i="14"/>
  <c r="X29" i="14"/>
  <c r="A29" i="14"/>
  <c r="A28" i="14"/>
  <c r="X27" i="14"/>
  <c r="A27" i="14"/>
  <c r="A26" i="14"/>
  <c r="H25" i="14"/>
  <c r="A25" i="14"/>
  <c r="X24" i="14"/>
  <c r="T24" i="14"/>
  <c r="A24" i="14"/>
  <c r="A23" i="14"/>
  <c r="A22" i="14"/>
  <c r="A21" i="14"/>
  <c r="A20" i="14"/>
  <c r="R19" i="14"/>
  <c r="T19" i="14" s="1"/>
  <c r="A19" i="14"/>
  <c r="A18" i="14"/>
  <c r="Q17" i="14"/>
  <c r="T17" i="14" s="1"/>
  <c r="A17" i="14"/>
  <c r="A15" i="14"/>
  <c r="A14" i="14"/>
  <c r="A13" i="14"/>
  <c r="A12" i="14"/>
  <c r="A11" i="14"/>
  <c r="A10" i="14"/>
  <c r="A9" i="14"/>
  <c r="X8" i="14"/>
  <c r="A8" i="14"/>
  <c r="H7" i="14"/>
  <c r="H6" i="14"/>
  <c r="H47" i="14" s="1"/>
  <c r="D7" i="14"/>
  <c r="A7" i="14"/>
  <c r="V6" i="14"/>
  <c r="K6" i="14"/>
  <c r="B6" i="14"/>
  <c r="D6" i="14"/>
  <c r="A6" i="14"/>
  <c r="X3" i="14"/>
  <c r="V3" i="14"/>
  <c r="K3" i="14"/>
  <c r="F3" i="14"/>
  <c r="B3" i="14"/>
  <c r="A3" i="14"/>
  <c r="A1" i="14"/>
  <c r="Z125" i="15"/>
  <c r="X125" i="15"/>
  <c r="BJ123" i="15"/>
  <c r="BI123" i="15"/>
  <c r="BF123" i="15"/>
  <c r="BE123" i="15"/>
  <c r="BA123" i="15"/>
  <c r="AZ123" i="15"/>
  <c r="AX123" i="15"/>
  <c r="AV123" i="15"/>
  <c r="V123" i="15"/>
  <c r="U123" i="15"/>
  <c r="A123" i="15"/>
  <c r="BI120" i="15"/>
  <c r="BF120" i="15"/>
  <c r="BE120" i="15"/>
  <c r="BA120" i="15"/>
  <c r="V120" i="15"/>
  <c r="BF117" i="15"/>
  <c r="BA117" i="15"/>
  <c r="V117" i="15"/>
  <c r="BB116" i="15"/>
  <c r="BB110" i="15"/>
  <c r="BB108" i="15"/>
  <c r="BB107" i="15"/>
  <c r="BB105" i="15"/>
  <c r="BB102" i="15"/>
  <c r="BB101" i="15"/>
  <c r="A101" i="15"/>
  <c r="BB95" i="15"/>
  <c r="BB94" i="15"/>
  <c r="BB92" i="15"/>
  <c r="BB90" i="15"/>
  <c r="BF87" i="15"/>
  <c r="BA87" i="15"/>
  <c r="H87" i="15"/>
  <c r="BB86" i="15"/>
  <c r="U86" i="15"/>
  <c r="T86" i="15"/>
  <c r="A86" i="15"/>
  <c r="BB84" i="15"/>
  <c r="AX84" i="15"/>
  <c r="AW84" i="15"/>
  <c r="BB76" i="15"/>
  <c r="BB69" i="15"/>
  <c r="BB68" i="15"/>
  <c r="BB67" i="15"/>
  <c r="A67" i="15"/>
  <c r="BB65" i="15"/>
  <c r="BF64" i="15"/>
  <c r="BA64" i="15"/>
  <c r="BE63" i="15"/>
  <c r="BD63" i="15"/>
  <c r="AZ63" i="15"/>
  <c r="AY63" i="15"/>
  <c r="AX63" i="15"/>
  <c r="AW63" i="15"/>
  <c r="U59" i="15"/>
  <c r="H59" i="15"/>
  <c r="BF55" i="15"/>
  <c r="I55" i="15"/>
  <c r="H55" i="15"/>
  <c r="V54" i="15"/>
  <c r="V53" i="15"/>
  <c r="BF49" i="15"/>
  <c r="AX49" i="15"/>
  <c r="AV49" i="15"/>
  <c r="BF46" i="15"/>
  <c r="AX46" i="15"/>
  <c r="Q46" i="15"/>
  <c r="BF43" i="15"/>
  <c r="AX43" i="15"/>
  <c r="Q40" i="15"/>
  <c r="AC34" i="15"/>
  <c r="Q34" i="15"/>
  <c r="O34" i="15"/>
  <c r="AC31" i="15"/>
  <c r="AC6" i="15" s="1"/>
  <c r="O31" i="15"/>
  <c r="Q28" i="15"/>
  <c r="O28" i="15"/>
  <c r="Q25" i="15"/>
  <c r="AX19" i="15"/>
  <c r="Q16" i="15"/>
  <c r="O16" i="15"/>
  <c r="Q13" i="15"/>
  <c r="O13" i="15"/>
  <c r="BF10" i="15"/>
  <c r="AX10" i="15"/>
  <c r="AV10" i="15"/>
  <c r="Q10" i="15"/>
  <c r="BF7" i="15"/>
  <c r="AX7" i="15"/>
  <c r="AV7" i="15"/>
  <c r="Q7" i="15"/>
  <c r="O7" i="15"/>
  <c r="BI6" i="15"/>
  <c r="BE6" i="15"/>
  <c r="AZ6" i="15"/>
  <c r="AT6" i="15"/>
  <c r="AA6" i="15"/>
  <c r="Y6" i="15"/>
  <c r="U6" i="15"/>
  <c r="S6" i="15"/>
  <c r="K6" i="15"/>
  <c r="I6" i="15"/>
  <c r="H6" i="15"/>
  <c r="E6" i="15"/>
  <c r="C6" i="15"/>
  <c r="P5" i="15"/>
  <c r="N5" i="15"/>
  <c r="BH3" i="15"/>
  <c r="BD3" i="15"/>
  <c r="AQ3" i="15"/>
  <c r="H1" i="15"/>
  <c r="D74" i="18"/>
  <c r="B70" i="18"/>
  <c r="B64" i="18"/>
  <c r="B60" i="18"/>
  <c r="B48" i="18"/>
  <c r="B32" i="18"/>
  <c r="B74" i="18"/>
  <c r="C29" i="9"/>
  <c r="C21" i="9"/>
  <c r="O26" i="9"/>
  <c r="O25" i="9"/>
  <c r="C22" i="9"/>
  <c r="M9" i="9"/>
  <c r="K9" i="9"/>
  <c r="I9" i="9"/>
  <c r="H9" i="9"/>
  <c r="G9" i="9"/>
  <c r="F9" i="9"/>
  <c r="E9" i="9"/>
  <c r="D9" i="9"/>
  <c r="D8" i="9"/>
  <c r="B7" i="9"/>
  <c r="BI128" i="8"/>
  <c r="BH128" i="8"/>
  <c r="BE128" i="8"/>
  <c r="BD128" i="8"/>
  <c r="AS128" i="8"/>
  <c r="AR128" i="8"/>
  <c r="W128" i="8"/>
  <c r="V128" i="8"/>
  <c r="P128" i="8"/>
  <c r="M128" i="8"/>
  <c r="L128" i="8"/>
  <c r="J128" i="8"/>
  <c r="G128" i="8"/>
  <c r="A128" i="8"/>
  <c r="BH124" i="8"/>
  <c r="BE124" i="8"/>
  <c r="BD124" i="8"/>
  <c r="AS124" i="8"/>
  <c r="W124" i="8"/>
  <c r="M124" i="8"/>
  <c r="BE121" i="8"/>
  <c r="AS121" i="8"/>
  <c r="W121" i="8"/>
  <c r="M121" i="8"/>
  <c r="L116" i="8"/>
  <c r="K116" i="8"/>
  <c r="J116" i="8"/>
  <c r="I116" i="8"/>
  <c r="L109" i="8"/>
  <c r="K109" i="8"/>
  <c r="J109" i="8"/>
  <c r="I109" i="8"/>
  <c r="G108" i="8"/>
  <c r="F108" i="8"/>
  <c r="B108" i="8" s="1"/>
  <c r="G97" i="8"/>
  <c r="BH96" i="8"/>
  <c r="BG96" i="8"/>
  <c r="BJ96" i="8" s="1"/>
  <c r="V94" i="8"/>
  <c r="BE90" i="8"/>
  <c r="AS90" i="8"/>
  <c r="AE90" i="8"/>
  <c r="W90" i="8"/>
  <c r="M90" i="8"/>
  <c r="V87" i="8"/>
  <c r="O87" i="8"/>
  <c r="J87" i="8"/>
  <c r="I87" i="8"/>
  <c r="BE68" i="8"/>
  <c r="AS68" i="8"/>
  <c r="W68" i="8"/>
  <c r="M68" i="8"/>
  <c r="A67" i="8"/>
  <c r="BD66" i="8"/>
  <c r="BC66" i="8"/>
  <c r="L66" i="8"/>
  <c r="K66" i="8"/>
  <c r="J66" i="8"/>
  <c r="I66" i="8"/>
  <c r="AE62" i="8"/>
  <c r="BE58" i="8"/>
  <c r="AS58" i="8"/>
  <c r="AF58" i="8"/>
  <c r="AE58" i="8"/>
  <c r="BE55" i="8"/>
  <c r="J55" i="8"/>
  <c r="H55" i="8"/>
  <c r="C55" i="8" s="1"/>
  <c r="BE52" i="8"/>
  <c r="AS52" i="8"/>
  <c r="AD52" i="8" s="1"/>
  <c r="J52" i="8"/>
  <c r="BE49" i="8"/>
  <c r="W49" i="8"/>
  <c r="P49" i="8" s="1"/>
  <c r="J49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W25" i="8"/>
  <c r="K25" i="8"/>
  <c r="J22" i="8"/>
  <c r="K21" i="8"/>
  <c r="K20" i="8"/>
  <c r="W19" i="8"/>
  <c r="K19" i="8"/>
  <c r="K18" i="8"/>
  <c r="K17" i="8"/>
  <c r="K16" i="8"/>
  <c r="BE10" i="8"/>
  <c r="J10" i="8"/>
  <c r="H10" i="8"/>
  <c r="BE7" i="8"/>
  <c r="AS7" i="8"/>
  <c r="W7" i="8"/>
  <c r="P7" i="8" s="1"/>
  <c r="J7" i="8"/>
  <c r="H7" i="8"/>
  <c r="BH6" i="8"/>
  <c r="BD6" i="8"/>
  <c r="AR6" i="8"/>
  <c r="AB6" i="8"/>
  <c r="Z6" i="8"/>
  <c r="V6" i="8"/>
  <c r="L6" i="8"/>
  <c r="G6" i="8"/>
  <c r="BG3" i="8"/>
  <c r="BC3" i="8"/>
  <c r="O3" i="8"/>
  <c r="B3" i="8"/>
  <c r="A3" i="8"/>
  <c r="B2" i="8"/>
  <c r="AE1" i="8"/>
  <c r="A1" i="8"/>
  <c r="L48" i="10"/>
  <c r="K48" i="10"/>
  <c r="A48" i="10"/>
  <c r="A46" i="10"/>
  <c r="M39" i="10"/>
  <c r="A44" i="10"/>
  <c r="A42" i="10"/>
  <c r="Q39" i="10"/>
  <c r="A41" i="10"/>
  <c r="A40" i="10"/>
  <c r="P39" i="10"/>
  <c r="N39" i="10"/>
  <c r="A39" i="10"/>
  <c r="A38" i="10"/>
  <c r="A37" i="10"/>
  <c r="A36" i="10"/>
  <c r="A35" i="10"/>
  <c r="A34" i="10"/>
  <c r="AB33" i="10"/>
  <c r="A33" i="10"/>
  <c r="A32" i="10"/>
  <c r="C31" i="10"/>
  <c r="A31" i="10"/>
  <c r="A30" i="10"/>
  <c r="A29" i="10"/>
  <c r="A28" i="10"/>
  <c r="A27" i="10"/>
  <c r="G26" i="10"/>
  <c r="A26" i="10"/>
  <c r="B25" i="10"/>
  <c r="A25" i="10"/>
  <c r="A24" i="10"/>
  <c r="O23" i="10"/>
  <c r="T23" i="10" s="1"/>
  <c r="A23" i="10"/>
  <c r="A22" i="10"/>
  <c r="A21" i="10"/>
  <c r="A20" i="10"/>
  <c r="A19" i="10"/>
  <c r="A17" i="10"/>
  <c r="A14" i="10"/>
  <c r="A13" i="10"/>
  <c r="C12" i="10"/>
  <c r="C6" i="10" s="1"/>
  <c r="A12" i="10"/>
  <c r="A11" i="10"/>
  <c r="A10" i="10"/>
  <c r="A9" i="10"/>
  <c r="A7" i="10"/>
  <c r="A6" i="10"/>
  <c r="T5" i="10"/>
  <c r="V5" i="10"/>
  <c r="S5" i="10"/>
  <c r="R5" i="10"/>
  <c r="Q5" i="10"/>
  <c r="M5" i="10"/>
  <c r="I5" i="10"/>
  <c r="H5" i="10"/>
  <c r="G5" i="10"/>
  <c r="F5" i="10"/>
  <c r="D5" i="10"/>
  <c r="C5" i="10"/>
  <c r="B5" i="10"/>
  <c r="AB3" i="10"/>
  <c r="F3" i="10"/>
  <c r="B3" i="10"/>
  <c r="A3" i="10"/>
  <c r="A1" i="10"/>
  <c r="E119" i="12"/>
  <c r="C119" i="12"/>
  <c r="E118" i="12"/>
  <c r="C118" i="12"/>
  <c r="G110" i="12"/>
  <c r="D109" i="12"/>
  <c r="E109" i="12"/>
  <c r="D108" i="12"/>
  <c r="E108" i="12"/>
  <c r="D107" i="12"/>
  <c r="C106" i="12"/>
  <c r="C103" i="12"/>
  <c r="C102" i="12"/>
  <c r="C101" i="12"/>
  <c r="J81" i="12"/>
  <c r="D81" i="12"/>
  <c r="AC80" i="12"/>
  <c r="AD80" i="12"/>
  <c r="AB80" i="12"/>
  <c r="J80" i="12"/>
  <c r="D80" i="12"/>
  <c r="D101" i="12"/>
  <c r="F101" i="12" s="1"/>
  <c r="AD79" i="12"/>
  <c r="AB79" i="12"/>
  <c r="AD78" i="12"/>
  <c r="Z78" i="12"/>
  <c r="J78" i="12"/>
  <c r="C78" i="12"/>
  <c r="D77" i="12"/>
  <c r="H74" i="12"/>
  <c r="H67" i="12"/>
  <c r="S66" i="12"/>
  <c r="X44" i="14"/>
  <c r="D86" i="12"/>
  <c r="Y44" i="12"/>
  <c r="Y42" i="12"/>
  <c r="V42" i="12"/>
  <c r="AB42" i="12" s="1"/>
  <c r="Y41" i="12"/>
  <c r="C41" i="12"/>
  <c r="C39" i="12"/>
  <c r="Y40" i="12"/>
  <c r="Y39" i="12"/>
  <c r="V39" i="12"/>
  <c r="J39" i="12"/>
  <c r="P39" i="12" s="1"/>
  <c r="D39" i="12"/>
  <c r="Y38" i="12"/>
  <c r="Y37" i="12"/>
  <c r="U37" i="12"/>
  <c r="V37" i="12"/>
  <c r="U49" i="12"/>
  <c r="BD134" i="6" s="1"/>
  <c r="Y36" i="12"/>
  <c r="P36" i="12"/>
  <c r="AB36" i="12"/>
  <c r="AC36" i="12" s="1"/>
  <c r="Y35" i="12"/>
  <c r="B120" i="12"/>
  <c r="J35" i="12"/>
  <c r="P35" i="12"/>
  <c r="AB35" i="12" s="1"/>
  <c r="AC35" i="12" s="1"/>
  <c r="Y34" i="12"/>
  <c r="D31" i="12"/>
  <c r="Y33" i="12"/>
  <c r="P33" i="12"/>
  <c r="X33" i="12"/>
  <c r="Y32" i="12"/>
  <c r="T32" i="12"/>
  <c r="J32" i="12"/>
  <c r="Y31" i="12"/>
  <c r="B110" i="12" s="1"/>
  <c r="S31" i="12"/>
  <c r="O31" i="12"/>
  <c r="N31" i="12"/>
  <c r="N49" i="12" s="1"/>
  <c r="AK134" i="6" s="1"/>
  <c r="C31" i="12"/>
  <c r="AB30" i="12"/>
  <c r="AC30" i="12" s="1"/>
  <c r="Y30" i="12"/>
  <c r="X30" i="12"/>
  <c r="Y28" i="12"/>
  <c r="Y27" i="12"/>
  <c r="AB27" i="10"/>
  <c r="Y26" i="12"/>
  <c r="Y25" i="12"/>
  <c r="V25" i="12"/>
  <c r="Y24" i="12"/>
  <c r="B115" i="12" s="1"/>
  <c r="T24" i="12"/>
  <c r="R24" i="12"/>
  <c r="O24" i="12"/>
  <c r="O49" i="12" s="1"/>
  <c r="AP134" i="6" s="1"/>
  <c r="N24" i="12"/>
  <c r="J24" i="12"/>
  <c r="F24" i="12"/>
  <c r="E24" i="12"/>
  <c r="D24" i="12"/>
  <c r="C24" i="12"/>
  <c r="B24" i="12"/>
  <c r="Y23" i="12"/>
  <c r="AB21" i="12"/>
  <c r="Y21" i="12"/>
  <c r="X21" i="12"/>
  <c r="Y20" i="12"/>
  <c r="AB20" i="12"/>
  <c r="Y19" i="12"/>
  <c r="F19" i="12"/>
  <c r="Y17" i="12"/>
  <c r="Y14" i="12"/>
  <c r="P14" i="12"/>
  <c r="Y13" i="12"/>
  <c r="Y12" i="12"/>
  <c r="Y11" i="12"/>
  <c r="V11" i="12"/>
  <c r="Y10" i="12"/>
  <c r="Y9" i="12"/>
  <c r="B114" i="12"/>
  <c r="P9" i="12"/>
  <c r="Y7" i="12"/>
  <c r="Y6" i="12"/>
  <c r="R49" i="12"/>
  <c r="AU134" i="6" s="1"/>
  <c r="D6" i="12"/>
  <c r="D49" i="12"/>
  <c r="C6" i="12"/>
  <c r="Y4" i="12"/>
  <c r="AC3" i="12"/>
  <c r="AD3" i="12"/>
  <c r="BI134" i="6"/>
  <c r="BI132" i="6"/>
  <c r="BH132" i="6"/>
  <c r="AY132" i="6"/>
  <c r="AX132" i="6"/>
  <c r="W132" i="6"/>
  <c r="I132" i="6"/>
  <c r="H132" i="6"/>
  <c r="F132" i="6"/>
  <c r="AT131" i="6"/>
  <c r="AT130" i="6"/>
  <c r="BV130" i="6" s="1"/>
  <c r="X130" i="6"/>
  <c r="A130" i="6"/>
  <c r="A127" i="8" s="1"/>
  <c r="AT128" i="6"/>
  <c r="BV128" i="6" s="1"/>
  <c r="X128" i="6"/>
  <c r="A128" i="6"/>
  <c r="AT127" i="6"/>
  <c r="BV127" i="6" s="1"/>
  <c r="X127" i="6"/>
  <c r="A127" i="6"/>
  <c r="AT126" i="6"/>
  <c r="BV126" i="6" s="1"/>
  <c r="X126" i="6"/>
  <c r="A126" i="6"/>
  <c r="A123" i="8" s="1"/>
  <c r="AT125" i="6"/>
  <c r="BV125" i="6" s="1"/>
  <c r="X125" i="6"/>
  <c r="A125" i="6"/>
  <c r="BJ124" i="6"/>
  <c r="BG124" i="6"/>
  <c r="AT124" i="6"/>
  <c r="BV124" i="6" s="1"/>
  <c r="X124" i="6"/>
  <c r="A124" i="6"/>
  <c r="AT123" i="6"/>
  <c r="X123" i="6"/>
  <c r="A123" i="6"/>
  <c r="AT122" i="6"/>
  <c r="X122" i="6"/>
  <c r="A122" i="6"/>
  <c r="A115" i="15" s="1"/>
  <c r="AT121" i="6"/>
  <c r="X121" i="6"/>
  <c r="A121" i="6"/>
  <c r="AT120" i="6"/>
  <c r="X120" i="6"/>
  <c r="A120" i="6"/>
  <c r="A117" i="8" s="1"/>
  <c r="AT119" i="6"/>
  <c r="X119" i="6"/>
  <c r="A119" i="6"/>
  <c r="A116" i="8" s="1"/>
  <c r="AT118" i="6"/>
  <c r="X118" i="6"/>
  <c r="A118" i="6"/>
  <c r="AT117" i="6"/>
  <c r="X117" i="6"/>
  <c r="A117" i="6"/>
  <c r="AT116" i="6"/>
  <c r="X116" i="6"/>
  <c r="A116" i="6"/>
  <c r="A110" i="15" s="1"/>
  <c r="AT115" i="6"/>
  <c r="X115" i="6"/>
  <c r="A115" i="6"/>
  <c r="A112" i="8" s="1"/>
  <c r="AT114" i="6"/>
  <c r="X114" i="6"/>
  <c r="A114" i="6"/>
  <c r="AT113" i="6"/>
  <c r="X113" i="6"/>
  <c r="A113" i="6"/>
  <c r="X112" i="6"/>
  <c r="A112" i="6"/>
  <c r="A109" i="8" s="1"/>
  <c r="AT111" i="6"/>
  <c r="U105" i="15"/>
  <c r="AQ111" i="6"/>
  <c r="T105" i="15"/>
  <c r="X111" i="6"/>
  <c r="A111" i="6"/>
  <c r="AT110" i="6"/>
  <c r="X110" i="6"/>
  <c r="A110" i="6"/>
  <c r="AT109" i="6"/>
  <c r="X109" i="6"/>
  <c r="A109" i="6"/>
  <c r="A106" i="8" s="1"/>
  <c r="AT108" i="6"/>
  <c r="X108" i="6"/>
  <c r="A108" i="6"/>
  <c r="AT107" i="6"/>
  <c r="X107" i="6"/>
  <c r="A107" i="6"/>
  <c r="AT106" i="6"/>
  <c r="X106" i="6"/>
  <c r="A106" i="6"/>
  <c r="AT105" i="6"/>
  <c r="X105" i="6"/>
  <c r="A105" i="6"/>
  <c r="A98" i="15" s="1"/>
  <c r="AT104" i="6"/>
  <c r="X104" i="6"/>
  <c r="A104" i="6"/>
  <c r="AT103" i="6"/>
  <c r="X103" i="6"/>
  <c r="A103" i="6"/>
  <c r="A96" i="15" s="1"/>
  <c r="AT101" i="6"/>
  <c r="X101" i="6"/>
  <c r="A101" i="6"/>
  <c r="A95" i="15" s="1"/>
  <c r="BH100" i="6"/>
  <c r="BL100" i="6" s="1"/>
  <c r="AT100" i="6"/>
  <c r="X100" i="6"/>
  <c r="BI94" i="15"/>
  <c r="F97" i="8"/>
  <c r="B97" i="8" s="1"/>
  <c r="A100" i="6"/>
  <c r="BN99" i="6"/>
  <c r="BP99" i="6" s="1"/>
  <c r="BL99" i="6"/>
  <c r="AT99" i="6"/>
  <c r="X99" i="6"/>
  <c r="A99" i="6"/>
  <c r="A96" i="8" s="1"/>
  <c r="AT98" i="6"/>
  <c r="X98" i="6"/>
  <c r="A98" i="6"/>
  <c r="A95" i="8"/>
  <c r="X97" i="6"/>
  <c r="BH94" i="8"/>
  <c r="A97" i="6"/>
  <c r="A94" i="8" s="1"/>
  <c r="AT96" i="6"/>
  <c r="X96" i="6"/>
  <c r="AT95" i="6"/>
  <c r="Y95" i="6"/>
  <c r="BX95" i="6" s="1"/>
  <c r="BY95" i="6" s="1"/>
  <c r="X95" i="6"/>
  <c r="A95" i="6"/>
  <c r="AT94" i="6"/>
  <c r="X94" i="6"/>
  <c r="A94" i="6"/>
  <c r="AT93" i="6"/>
  <c r="X93" i="6"/>
  <c r="V93" i="6"/>
  <c r="A93" i="6"/>
  <c r="X92" i="6"/>
  <c r="A92" i="6"/>
  <c r="A89" i="8"/>
  <c r="AT91" i="6"/>
  <c r="X91" i="6"/>
  <c r="A91" i="6"/>
  <c r="A85" i="15"/>
  <c r="AT90" i="6"/>
  <c r="X90" i="6"/>
  <c r="K90" i="6"/>
  <c r="U87" i="8" s="1"/>
  <c r="H90" i="6"/>
  <c r="G90" i="6"/>
  <c r="A90" i="6"/>
  <c r="AT89" i="6"/>
  <c r="X89" i="6"/>
  <c r="A89" i="6"/>
  <c r="AT88" i="6"/>
  <c r="X88" i="6"/>
  <c r="A88" i="6"/>
  <c r="AT87" i="6"/>
  <c r="X87" i="6"/>
  <c r="A87" i="6"/>
  <c r="AT86" i="6"/>
  <c r="X86" i="6"/>
  <c r="A86" i="6"/>
  <c r="AT85" i="6"/>
  <c r="X85" i="6"/>
  <c r="A85" i="6"/>
  <c r="AT84" i="6"/>
  <c r="X84" i="6"/>
  <c r="A84" i="6"/>
  <c r="AT83" i="6"/>
  <c r="X83" i="6"/>
  <c r="A83" i="6"/>
  <c r="AT82" i="6"/>
  <c r="X82" i="6"/>
  <c r="A82" i="6"/>
  <c r="A79" i="8" s="1"/>
  <c r="AT81" i="6"/>
  <c r="X81" i="6"/>
  <c r="A81" i="6"/>
  <c r="AT80" i="6"/>
  <c r="X80" i="6"/>
  <c r="A80" i="6"/>
  <c r="AT79" i="6"/>
  <c r="X79" i="6"/>
  <c r="A79" i="6"/>
  <c r="A76" i="8" s="1"/>
  <c r="AT78" i="6"/>
  <c r="X78" i="6"/>
  <c r="A78" i="6"/>
  <c r="A72" i="15" s="1"/>
  <c r="AT77" i="6"/>
  <c r="X77" i="6"/>
  <c r="A77" i="6"/>
  <c r="AT76" i="6"/>
  <c r="X76" i="6"/>
  <c r="A76" i="6"/>
  <c r="AT75" i="6"/>
  <c r="X75" i="6"/>
  <c r="A75" i="6"/>
  <c r="AT74" i="6"/>
  <c r="X74" i="6"/>
  <c r="A74" i="6"/>
  <c r="A71" i="8" s="1"/>
  <c r="AT73" i="6"/>
  <c r="X73" i="6"/>
  <c r="A73" i="6"/>
  <c r="AT72" i="6"/>
  <c r="X72" i="6"/>
  <c r="A72" i="6"/>
  <c r="AT71" i="6"/>
  <c r="X71" i="6"/>
  <c r="A71" i="6"/>
  <c r="A68" i="8" s="1"/>
  <c r="BL70" i="6"/>
  <c r="AB70" i="6"/>
  <c r="AQ70" i="6" s="1"/>
  <c r="BN70" i="6" s="1"/>
  <c r="X69" i="6"/>
  <c r="A69" i="6"/>
  <c r="A63" i="15" s="1"/>
  <c r="Y68" i="6"/>
  <c r="AQ68" i="6" s="1"/>
  <c r="BN68" i="6" s="1"/>
  <c r="BP68" i="6" s="1"/>
  <c r="X68" i="6"/>
  <c r="A68" i="6"/>
  <c r="A65" i="8" s="1"/>
  <c r="X67" i="6"/>
  <c r="A67" i="6"/>
  <c r="AT66" i="6"/>
  <c r="X66" i="6"/>
  <c r="A66" i="6"/>
  <c r="BJ65" i="6"/>
  <c r="AT65" i="6"/>
  <c r="X65" i="6"/>
  <c r="A65" i="6"/>
  <c r="AT64" i="6"/>
  <c r="X64" i="6"/>
  <c r="A64" i="6"/>
  <c r="AT63" i="6"/>
  <c r="X63" i="6"/>
  <c r="A63" i="6"/>
  <c r="AT62" i="6"/>
  <c r="X62" i="6"/>
  <c r="A62" i="6"/>
  <c r="BJ61" i="6"/>
  <c r="AT61" i="6"/>
  <c r="X61" i="6"/>
  <c r="A61" i="6"/>
  <c r="A54" i="15"/>
  <c r="A53" i="15"/>
  <c r="CA60" i="6"/>
  <c r="CA59" i="6"/>
  <c r="AT58" i="6"/>
  <c r="I58" i="6"/>
  <c r="BA49" i="15"/>
  <c r="C58" i="6"/>
  <c r="A49" i="15"/>
  <c r="CA57" i="6"/>
  <c r="CA56" i="6"/>
  <c r="AT55" i="6"/>
  <c r="CA54" i="6"/>
  <c r="CA53" i="6"/>
  <c r="AT52" i="6"/>
  <c r="I52" i="6"/>
  <c r="A43" i="15"/>
  <c r="CA48" i="6"/>
  <c r="CA47" i="6"/>
  <c r="CA46" i="6"/>
  <c r="A46" i="8"/>
  <c r="CA45" i="6"/>
  <c r="CA44" i="6"/>
  <c r="A40" i="15"/>
  <c r="CA42" i="6"/>
  <c r="CA41" i="6"/>
  <c r="AT40" i="6"/>
  <c r="CA39" i="6"/>
  <c r="CA38" i="6"/>
  <c r="AT37" i="6"/>
  <c r="CA36" i="6"/>
  <c r="CA35" i="6"/>
  <c r="BI34" i="6"/>
  <c r="AT34" i="6"/>
  <c r="CA33" i="6"/>
  <c r="CA32" i="6"/>
  <c r="AT31" i="6"/>
  <c r="AR31" i="6"/>
  <c r="V28" i="15" s="1"/>
  <c r="A31" i="8"/>
  <c r="CA30" i="6"/>
  <c r="CA29" i="6"/>
  <c r="AT28" i="6"/>
  <c r="A28" i="8"/>
  <c r="CA27" i="6"/>
  <c r="CA26" i="6"/>
  <c r="AT25" i="6"/>
  <c r="A25" i="8"/>
  <c r="CA24" i="6"/>
  <c r="CA23" i="6"/>
  <c r="AT22" i="6"/>
  <c r="A19" i="15"/>
  <c r="CA21" i="6"/>
  <c r="CA20" i="6"/>
  <c r="BI19" i="6"/>
  <c r="AT19" i="6"/>
  <c r="A16" i="15"/>
  <c r="CA18" i="6"/>
  <c r="CA17" i="6"/>
  <c r="AT16" i="6"/>
  <c r="A16" i="8"/>
  <c r="CA12" i="6"/>
  <c r="CA11" i="6"/>
  <c r="AT10" i="6"/>
  <c r="I10" i="6"/>
  <c r="BA10" i="15"/>
  <c r="CA9" i="6"/>
  <c r="AT7" i="6"/>
  <c r="I7" i="6"/>
  <c r="BA7" i="15"/>
  <c r="BM6" i="6"/>
  <c r="BF6" i="6"/>
  <c r="AZ6" i="6"/>
  <c r="AY6" i="6"/>
  <c r="AP6" i="6"/>
  <c r="AM6" i="6"/>
  <c r="AJ6" i="6"/>
  <c r="F6" i="6"/>
  <c r="AX6" i="15"/>
  <c r="A6" i="6"/>
  <c r="AT3" i="6"/>
  <c r="T60" i="12"/>
  <c r="T6" i="12"/>
  <c r="T39" i="10"/>
  <c r="R17" i="14"/>
  <c r="BX68" i="6"/>
  <c r="BY68" i="6" s="1"/>
  <c r="BX70" i="6"/>
  <c r="BY70" i="6" s="1"/>
  <c r="AB9" i="12"/>
  <c r="T6" i="8"/>
  <c r="BL90" i="6"/>
  <c r="BL92" i="6"/>
  <c r="BL97" i="6"/>
  <c r="BX100" i="6"/>
  <c r="BY100" i="6" s="1"/>
  <c r="A100" i="8"/>
  <c r="V52" i="15"/>
  <c r="A119" i="15"/>
  <c r="P24" i="12"/>
  <c r="C115" i="12"/>
  <c r="X9" i="12"/>
  <c r="V13" i="12"/>
  <c r="X20" i="12"/>
  <c r="AB23" i="10"/>
  <c r="X25" i="12"/>
  <c r="X27" i="12"/>
  <c r="X28" i="12"/>
  <c r="E117" i="12"/>
  <c r="C117" i="12"/>
  <c r="J103" i="12"/>
  <c r="AB33" i="12"/>
  <c r="G134" i="6"/>
  <c r="X36" i="12"/>
  <c r="X42" i="12"/>
  <c r="D78" i="12"/>
  <c r="E80" i="12"/>
  <c r="E101" i="12"/>
  <c r="B119" i="12"/>
  <c r="B109" i="12"/>
  <c r="A10" i="15"/>
  <c r="A10" i="8"/>
  <c r="A13" i="15"/>
  <c r="A52" i="15"/>
  <c r="A76" i="15"/>
  <c r="BQ98" i="6"/>
  <c r="BG108" i="8"/>
  <c r="M10" i="8"/>
  <c r="A22" i="8"/>
  <c r="A25" i="15"/>
  <c r="W52" i="8"/>
  <c r="L55" i="6"/>
  <c r="BI55" i="6"/>
  <c r="M55" i="8"/>
  <c r="A75" i="8"/>
  <c r="A73" i="15"/>
  <c r="BI90" i="15"/>
  <c r="BH93" i="8"/>
  <c r="A91" i="15"/>
  <c r="A43" i="8"/>
  <c r="J6" i="8"/>
  <c r="M7" i="8"/>
  <c r="A68" i="15"/>
  <c r="A88" i="8"/>
  <c r="A92" i="15"/>
  <c r="A98" i="8"/>
  <c r="A104" i="15"/>
  <c r="A107" i="8"/>
  <c r="BI105" i="15"/>
  <c r="BH108" i="8"/>
  <c r="BI110" i="15"/>
  <c r="BL116" i="6"/>
  <c r="A119" i="8"/>
  <c r="A122" i="15"/>
  <c r="BI55" i="8"/>
  <c r="BH87" i="8"/>
  <c r="A102" i="8"/>
  <c r="A113" i="8"/>
  <c r="BH94" i="15"/>
  <c r="BG97" i="8"/>
  <c r="E6" i="8"/>
  <c r="BL96" i="6"/>
  <c r="BH97" i="8"/>
  <c r="T52" i="15"/>
  <c r="BP34" i="6"/>
  <c r="CA34" i="6" s="1"/>
  <c r="AN6" i="8"/>
  <c r="AC33" i="12"/>
  <c r="BG100" i="6"/>
  <c r="BN100" i="6" s="1"/>
  <c r="BP100" i="6" s="1"/>
  <c r="X43" i="14"/>
  <c r="H66" i="12"/>
  <c r="X35" i="12"/>
  <c r="AC20" i="12"/>
  <c r="BI10" i="6"/>
  <c r="BE58" i="6"/>
  <c r="BA10" i="6"/>
  <c r="BJ46" i="15"/>
  <c r="BI52" i="8"/>
  <c r="AR55" i="6"/>
  <c r="V46" i="15"/>
  <c r="G46" i="15" s="1"/>
  <c r="AF40" i="6"/>
  <c r="BA12" i="6"/>
  <c r="BA11" i="6"/>
  <c r="BD46" i="15"/>
  <c r="BC52" i="8"/>
  <c r="BE10" i="6"/>
  <c r="AH10" i="6"/>
  <c r="BQ4" i="6"/>
  <c r="AW10" i="6"/>
  <c r="N10" i="6"/>
  <c r="AQ10" i="8" s="1"/>
  <c r="AN10" i="6"/>
  <c r="AK10" i="6"/>
  <c r="AU10" i="6"/>
  <c r="K10" i="6"/>
  <c r="BD10" i="6"/>
  <c r="E10" i="6"/>
  <c r="AW10" i="15" s="1"/>
  <c r="L25" i="6"/>
  <c r="BE34" i="6"/>
  <c r="BD36" i="6" s="1"/>
  <c r="BG36" i="6" s="1"/>
  <c r="BD10" i="15"/>
  <c r="BC10" i="8"/>
  <c r="F10" i="8"/>
  <c r="AU10" i="15"/>
  <c r="T54" i="15"/>
  <c r="AN7" i="6"/>
  <c r="AH7" i="6"/>
  <c r="BD7" i="6"/>
  <c r="AW7" i="6"/>
  <c r="AK7" i="6"/>
  <c r="K7" i="6"/>
  <c r="E7" i="6"/>
  <c r="N7" i="6"/>
  <c r="BA7" i="6"/>
  <c r="AY7" i="8"/>
  <c r="AU7" i="15"/>
  <c r="AQ7" i="15"/>
  <c r="AQ6" i="15" s="1"/>
  <c r="F7" i="8"/>
  <c r="BD43" i="15"/>
  <c r="BC49" i="8"/>
  <c r="Y125" i="6"/>
  <c r="F11" i="8"/>
  <c r="AQ7" i="8"/>
  <c r="BD7" i="15"/>
  <c r="BC7" i="8"/>
  <c r="AQ8" i="8"/>
  <c r="AO8" i="8" s="1"/>
  <c r="F12" i="8"/>
  <c r="F8" i="8"/>
  <c r="AX118" i="15"/>
  <c r="J122" i="8"/>
  <c r="AV118" i="15"/>
  <c r="AS7" i="15"/>
  <c r="AS6" i="15" s="1"/>
  <c r="F9" i="8"/>
  <c r="BE118" i="15"/>
  <c r="BD122" i="8"/>
  <c r="T53" i="15"/>
  <c r="AZ118" i="15"/>
  <c r="L122" i="8"/>
  <c r="BD118" i="15"/>
  <c r="BC122" i="8"/>
  <c r="AU118" i="15"/>
  <c r="BI118" i="15"/>
  <c r="BH122" i="8"/>
  <c r="I122" i="8"/>
  <c r="AW118" i="15"/>
  <c r="D6" i="8"/>
  <c r="C11" i="9" s="1"/>
  <c r="AY118" i="15"/>
  <c r="K122" i="8"/>
  <c r="BH118" i="15"/>
  <c r="BG122" i="8"/>
  <c r="BJ122" i="8"/>
  <c r="AY9" i="8"/>
  <c r="AY8" i="8"/>
  <c r="X7" i="14"/>
  <c r="AB7" i="10"/>
  <c r="K60" i="12"/>
  <c r="A61" i="12"/>
  <c r="A62" i="12" s="1"/>
  <c r="A63" i="12"/>
  <c r="A64" i="12" s="1"/>
  <c r="AB7" i="12"/>
  <c r="AC7" i="12" s="1"/>
  <c r="X7" i="12"/>
  <c r="D90" i="12"/>
  <c r="D96" i="12"/>
  <c r="D91" i="12"/>
  <c r="K23" i="9"/>
  <c r="P7" i="14" s="1"/>
  <c r="P6" i="14" s="1"/>
  <c r="V31" i="10"/>
  <c r="H22" i="12"/>
  <c r="G19" i="12"/>
  <c r="V46" i="10"/>
  <c r="X46" i="10"/>
  <c r="R28" i="9"/>
  <c r="V39" i="10"/>
  <c r="X39" i="10" s="1"/>
  <c r="X22" i="12"/>
  <c r="N48" i="10"/>
  <c r="B12" i="10"/>
  <c r="B6" i="10"/>
  <c r="D6" i="10" s="1"/>
  <c r="R25" i="9"/>
  <c r="V22" i="10"/>
  <c r="X22" i="10"/>
  <c r="P82" i="9"/>
  <c r="R27" i="9"/>
  <c r="E55" i="6"/>
  <c r="AW55" i="6"/>
  <c r="AB28" i="6"/>
  <c r="Y46" i="6"/>
  <c r="N58" i="6"/>
  <c r="AS13" i="8"/>
  <c r="AD13" i="8" s="1"/>
  <c r="AT13" i="8" s="1"/>
  <c r="Y14" i="6"/>
  <c r="AS16" i="8"/>
  <c r="AN16" i="6"/>
  <c r="AR16" i="6"/>
  <c r="V13" i="15" s="1"/>
  <c r="G13" i="15" s="1"/>
  <c r="AE19" i="6"/>
  <c r="AN19" i="6"/>
  <c r="BE19" i="6"/>
  <c r="BD19" i="6"/>
  <c r="BG19" i="6" s="1"/>
  <c r="BF6" i="15"/>
  <c r="BF16" i="15"/>
  <c r="R75" i="6"/>
  <c r="BD72" i="8"/>
  <c r="BE19" i="8"/>
  <c r="O75" i="6"/>
  <c r="BA19" i="8"/>
  <c r="AP1" i="8"/>
  <c r="AX19" i="8" s="1"/>
  <c r="BJ16" i="15"/>
  <c r="AZ72" i="8"/>
  <c r="BE69" i="15"/>
  <c r="AR19" i="6"/>
  <c r="V16" i="15" s="1"/>
  <c r="G16" i="15" s="1"/>
  <c r="Y19" i="6"/>
  <c r="N19" i="6"/>
  <c r="AK19" i="6"/>
  <c r="N16" i="6"/>
  <c r="AQ16" i="8" s="1"/>
  <c r="AM16" i="8" s="1"/>
  <c r="Y55" i="6"/>
  <c r="AU55" i="6"/>
  <c r="BD59" i="6"/>
  <c r="G28" i="15"/>
  <c r="Q19" i="6"/>
  <c r="N21" i="6"/>
  <c r="K16" i="6"/>
  <c r="T16" i="6" s="1"/>
  <c r="U16" i="6" s="1"/>
  <c r="BX32" i="6"/>
  <c r="BY32" i="6" s="1"/>
  <c r="K57" i="6"/>
  <c r="U54" i="8" s="1"/>
  <c r="A56" i="15"/>
  <c r="A59" i="8"/>
  <c r="A93" i="15"/>
  <c r="BV61" i="6"/>
  <c r="A55" i="15"/>
  <c r="A58" i="8"/>
  <c r="A66" i="8"/>
  <c r="A78" i="15"/>
  <c r="A81" i="8"/>
  <c r="A82" i="15"/>
  <c r="A85" i="8"/>
  <c r="V6" i="12"/>
  <c r="X13" i="12"/>
  <c r="AZ84" i="15"/>
  <c r="L87" i="8"/>
  <c r="BZ99" i="6"/>
  <c r="E115" i="12"/>
  <c r="B106" i="12"/>
  <c r="B116" i="12"/>
  <c r="B108" i="12"/>
  <c r="B118" i="12"/>
  <c r="U118" i="15"/>
  <c r="BL125" i="6"/>
  <c r="BP70" i="6"/>
  <c r="T62" i="15"/>
  <c r="A7" i="8"/>
  <c r="A7" i="15"/>
  <c r="A19" i="8"/>
  <c r="C100" i="12"/>
  <c r="C82" i="12"/>
  <c r="BI49" i="8"/>
  <c r="BJ43" i="15"/>
  <c r="T116" i="6"/>
  <c r="BI19" i="8"/>
  <c r="AS49" i="8"/>
  <c r="AD49" i="8" s="1"/>
  <c r="AT49" i="8" s="1"/>
  <c r="X29" i="12"/>
  <c r="BX116" i="6"/>
  <c r="BY116" i="6" s="1"/>
  <c r="BD15" i="6"/>
  <c r="N36" i="6"/>
  <c r="A113" i="15"/>
  <c r="A55" i="8"/>
  <c r="A103" i="15"/>
  <c r="N12" i="6"/>
  <c r="AQ12" i="8" s="1"/>
  <c r="N11" i="6"/>
  <c r="AQ11" i="8" s="1"/>
  <c r="C48" i="10"/>
  <c r="AS10" i="8"/>
  <c r="AD10" i="8"/>
  <c r="AT10" i="8" s="1"/>
  <c r="AB46" i="6"/>
  <c r="AQ46" i="6" s="1"/>
  <c r="BP55" i="6"/>
  <c r="CA55" i="6" s="1"/>
  <c r="B13" i="6"/>
  <c r="G13" i="6" s="1"/>
  <c r="T66" i="12"/>
  <c r="BC19" i="8"/>
  <c r="AE13" i="6"/>
  <c r="BD13" i="6"/>
  <c r="AN13" i="6"/>
  <c r="AU13" i="6"/>
  <c r="Y13" i="6"/>
  <c r="AH13" i="6"/>
  <c r="N15" i="6"/>
  <c r="K15" i="6"/>
  <c r="N17" i="6"/>
  <c r="AQ17" i="8" s="1"/>
  <c r="Q20" i="6"/>
  <c r="AY20" i="8" s="1"/>
  <c r="N20" i="6"/>
  <c r="K25" i="6"/>
  <c r="U25" i="8" s="1"/>
  <c r="V66" i="12"/>
  <c r="K27" i="6"/>
  <c r="Y31" i="6"/>
  <c r="AN31" i="6"/>
  <c r="AK31" i="6"/>
  <c r="N35" i="6"/>
  <c r="BD35" i="6"/>
  <c r="BG35" i="6" s="1"/>
  <c r="AN37" i="6"/>
  <c r="AH37" i="6"/>
  <c r="AK37" i="6"/>
  <c r="V65" i="12"/>
  <c r="E52" i="6"/>
  <c r="Y52" i="6"/>
  <c r="AK52" i="6"/>
  <c r="AN52" i="6"/>
  <c r="AH52" i="6"/>
  <c r="K54" i="6"/>
  <c r="N56" i="6"/>
  <c r="K56" i="6"/>
  <c r="Y58" i="6"/>
  <c r="AN58" i="6"/>
  <c r="B58" i="6"/>
  <c r="BD58" i="6"/>
  <c r="AW58" i="6"/>
  <c r="E58" i="6"/>
  <c r="I55" i="8" s="1"/>
  <c r="Q58" i="6"/>
  <c r="N60" i="6"/>
  <c r="AQ57" i="8" s="1"/>
  <c r="AK57" i="8" s="1"/>
  <c r="B60" i="6"/>
  <c r="Y15" i="6"/>
  <c r="K13" i="6"/>
  <c r="U13" i="8" s="1"/>
  <c r="K52" i="6"/>
  <c r="BD60" i="6"/>
  <c r="AR10" i="15"/>
  <c r="AS10" i="15"/>
  <c r="AV19" i="8"/>
  <c r="B52" i="15"/>
  <c r="N14" i="6"/>
  <c r="K14" i="6"/>
  <c r="U14" i="8" s="1"/>
  <c r="K53" i="6"/>
  <c r="U50" i="8" s="1"/>
  <c r="N57" i="6"/>
  <c r="N59" i="6"/>
  <c r="AQ56" i="8" s="1"/>
  <c r="BJ7" i="15"/>
  <c r="BI7" i="8"/>
  <c r="BJ19" i="15"/>
  <c r="BI22" i="8"/>
  <c r="Q75" i="6"/>
  <c r="AR72" i="8"/>
  <c r="AA7" i="8"/>
  <c r="BI25" i="8"/>
  <c r="K18" i="6"/>
  <c r="K17" i="6"/>
  <c r="BC72" i="8"/>
  <c r="BD69" i="15"/>
  <c r="BD21" i="6"/>
  <c r="BG21" i="6" s="1"/>
  <c r="BD20" i="6"/>
  <c r="BG20" i="6" s="1"/>
  <c r="BD49" i="15"/>
  <c r="BA6" i="8"/>
  <c r="BE6" i="8"/>
  <c r="K20" i="6"/>
  <c r="U20" i="8" s="1"/>
  <c r="K21" i="6"/>
  <c r="AW46" i="15"/>
  <c r="I52" i="8"/>
  <c r="BX125" i="6"/>
  <c r="BY125" i="6" s="1"/>
  <c r="BQ125" i="6"/>
  <c r="BR125" i="6" s="1"/>
  <c r="U9" i="8"/>
  <c r="U10" i="8"/>
  <c r="A22" i="15"/>
  <c r="A31" i="15"/>
  <c r="A34" i="8"/>
  <c r="A37" i="8"/>
  <c r="A34" i="15"/>
  <c r="AT52" i="8"/>
  <c r="U94" i="8"/>
  <c r="O94" i="8" s="1"/>
  <c r="T97" i="6"/>
  <c r="BN97" i="6" s="1"/>
  <c r="BP97" i="6" s="1"/>
  <c r="BX97" i="6"/>
  <c r="BY97" i="6" s="1"/>
  <c r="K6" i="12"/>
  <c r="K49" i="12"/>
  <c r="AB134" i="6" s="1"/>
  <c r="P17" i="12"/>
  <c r="X17" i="12" s="1"/>
  <c r="N96" i="6"/>
  <c r="BJ93" i="6"/>
  <c r="BD14" i="6"/>
  <c r="K26" i="6"/>
  <c r="U26" i="8" s="1"/>
  <c r="U75" i="12"/>
  <c r="AN28" i="6"/>
  <c r="N34" i="6"/>
  <c r="AN34" i="6"/>
  <c r="K66" i="12"/>
  <c r="T65" i="12"/>
  <c r="K55" i="6"/>
  <c r="U52" i="8"/>
  <c r="N55" i="6"/>
  <c r="AQ52" i="8"/>
  <c r="AH55" i="6"/>
  <c r="BA55" i="6"/>
  <c r="AK55" i="6"/>
  <c r="W10" i="8"/>
  <c r="P10" i="8" s="1"/>
  <c r="AB10" i="6"/>
  <c r="O10" i="15"/>
  <c r="BI37" i="8"/>
  <c r="AS37" i="8"/>
  <c r="BP37" i="6"/>
  <c r="CA37" i="6" s="1"/>
  <c r="N37" i="6"/>
  <c r="N13" i="6"/>
  <c r="AR49" i="6"/>
  <c r="Q37" i="15"/>
  <c r="AR40" i="6"/>
  <c r="V37" i="15" s="1"/>
  <c r="G37" i="15" s="1"/>
  <c r="O25" i="15"/>
  <c r="BP28" i="6"/>
  <c r="CA28" i="6" s="1"/>
  <c r="AB13" i="6"/>
  <c r="AQ125" i="6"/>
  <c r="T7" i="6"/>
  <c r="U7" i="8"/>
  <c r="Y10" i="8"/>
  <c r="G10" i="6"/>
  <c r="K10" i="8" s="1"/>
  <c r="I10" i="8"/>
  <c r="E120" i="12"/>
  <c r="BZ68" i="6"/>
  <c r="A28" i="15"/>
  <c r="D82" i="12"/>
  <c r="E78" i="12"/>
  <c r="AE9" i="12"/>
  <c r="AC9" i="12"/>
  <c r="BA43" i="15"/>
  <c r="M49" i="8"/>
  <c r="A64" i="15"/>
  <c r="A70" i="15"/>
  <c r="A73" i="8"/>
  <c r="A74" i="15"/>
  <c r="A77" i="8"/>
  <c r="A80" i="15"/>
  <c r="A83" i="8"/>
  <c r="A84" i="15"/>
  <c r="A87" i="8"/>
  <c r="AQ95" i="6"/>
  <c r="BN95" i="6" s="1"/>
  <c r="BZ95" i="6" s="1"/>
  <c r="BQ95" i="6"/>
  <c r="BR95" i="6" s="1"/>
  <c r="A94" i="15"/>
  <c r="A97" i="8"/>
  <c r="A99" i="15"/>
  <c r="A103" i="8"/>
  <c r="A102" i="15"/>
  <c r="A105" i="8"/>
  <c r="A109" i="15"/>
  <c r="A108" i="15"/>
  <c r="A114" i="15"/>
  <c r="A118" i="8"/>
  <c r="A120" i="8"/>
  <c r="A116" i="15"/>
  <c r="A118" i="15"/>
  <c r="A122" i="8"/>
  <c r="C49" i="12"/>
  <c r="P10" i="12"/>
  <c r="X10" i="12" s="1"/>
  <c r="J31" i="12"/>
  <c r="P32" i="12"/>
  <c r="B107" i="12"/>
  <c r="B117" i="12"/>
  <c r="D102" i="12"/>
  <c r="F102" i="12" s="1"/>
  <c r="E81" i="12"/>
  <c r="F81" i="12"/>
  <c r="D50" i="12" s="1"/>
  <c r="G31" i="12"/>
  <c r="A49" i="8"/>
  <c r="A65" i="15"/>
  <c r="A69" i="8"/>
  <c r="BQ90" i="6"/>
  <c r="BR90" i="6" s="1"/>
  <c r="U89" i="15"/>
  <c r="BL95" i="6"/>
  <c r="A100" i="15"/>
  <c r="A104" i="8"/>
  <c r="AB14" i="12"/>
  <c r="AC14" i="12" s="1"/>
  <c r="X14" i="12"/>
  <c r="V24" i="12"/>
  <c r="AB25" i="12"/>
  <c r="AC25" i="12" s="1"/>
  <c r="E107" i="12"/>
  <c r="E103" i="12" s="1"/>
  <c r="D103" i="12"/>
  <c r="F103" i="12" s="1"/>
  <c r="D44" i="14"/>
  <c r="B43" i="14"/>
  <c r="D43" i="14"/>
  <c r="BJ31" i="15"/>
  <c r="BI34" i="8"/>
  <c r="S25" i="9"/>
  <c r="X23" i="12"/>
  <c r="X19" i="12" s="1"/>
  <c r="X34" i="12"/>
  <c r="X28" i="14"/>
  <c r="AB34" i="12"/>
  <c r="AC34" i="12" s="1"/>
  <c r="K10" i="16"/>
  <c r="I21" i="16"/>
  <c r="H40" i="12"/>
  <c r="AB40" i="10" s="1"/>
  <c r="E39" i="12"/>
  <c r="F39" i="10"/>
  <c r="I39" i="10" s="1"/>
  <c r="I40" i="10"/>
  <c r="Y50" i="6"/>
  <c r="X34" i="10"/>
  <c r="W48" i="10"/>
  <c r="X31" i="10"/>
  <c r="T18" i="10"/>
  <c r="D12" i="10"/>
  <c r="O24" i="10"/>
  <c r="B39" i="10"/>
  <c r="D39" i="10"/>
  <c r="D41" i="10"/>
  <c r="B39" i="12"/>
  <c r="H41" i="12"/>
  <c r="P6" i="10"/>
  <c r="O19" i="10"/>
  <c r="T19" i="10"/>
  <c r="AB18" i="10"/>
  <c r="S27" i="9"/>
  <c r="U27" i="9" s="1"/>
  <c r="X18" i="12"/>
  <c r="BX46" i="6"/>
  <c r="BY46" i="6" s="1"/>
  <c r="T36" i="6"/>
  <c r="AQ39" i="8"/>
  <c r="AM52" i="8"/>
  <c r="U16" i="8"/>
  <c r="BH110" i="15"/>
  <c r="T20" i="6"/>
  <c r="AC29" i="12"/>
  <c r="AE6" i="6"/>
  <c r="F13" i="8"/>
  <c r="F55" i="8"/>
  <c r="AU49" i="15"/>
  <c r="AW43" i="15"/>
  <c r="BX31" i="6"/>
  <c r="BY31" i="6" s="1"/>
  <c r="AQ31" i="6"/>
  <c r="AW49" i="15"/>
  <c r="AQ13" i="6"/>
  <c r="AQ10" i="15"/>
  <c r="F57" i="8"/>
  <c r="G60" i="6"/>
  <c r="K57" i="8" s="1"/>
  <c r="BQ31" i="6"/>
  <c r="BR31" i="6" s="1"/>
  <c r="AY72" i="8"/>
  <c r="BG16" i="8"/>
  <c r="C22" i="16"/>
  <c r="K21" i="16"/>
  <c r="H22" i="16"/>
  <c r="H102" i="12"/>
  <c r="I102" i="12" s="1"/>
  <c r="J102" i="12" s="1"/>
  <c r="P6" i="12"/>
  <c r="E114" i="12" s="1"/>
  <c r="O7" i="8"/>
  <c r="T118" i="15"/>
  <c r="BN125" i="6"/>
  <c r="BZ125" i="6" s="1"/>
  <c r="AQ15" i="8"/>
  <c r="AO15" i="8" s="1"/>
  <c r="BI10" i="8"/>
  <c r="BJ10" i="15"/>
  <c r="U18" i="8"/>
  <c r="T18" i="6"/>
  <c r="U18" i="6" s="1"/>
  <c r="C116" i="12"/>
  <c r="E116" i="12"/>
  <c r="E134" i="6"/>
  <c r="T89" i="15"/>
  <c r="BG7" i="8"/>
  <c r="T37" i="6"/>
  <c r="U37" i="6" s="1"/>
  <c r="AQ37" i="8"/>
  <c r="AD37" i="8"/>
  <c r="BQ96" i="6"/>
  <c r="BR96" i="6" s="1"/>
  <c r="T96" i="6"/>
  <c r="BG94" i="8"/>
  <c r="BJ94" i="8" s="1"/>
  <c r="O9" i="8"/>
  <c r="S9" i="8"/>
  <c r="Q9" i="8"/>
  <c r="BI16" i="8"/>
  <c r="BJ13" i="15"/>
  <c r="H12" i="12"/>
  <c r="B6" i="12"/>
  <c r="AB41" i="10"/>
  <c r="X41" i="12"/>
  <c r="X40" i="14"/>
  <c r="AB41" i="12"/>
  <c r="AC41" i="12" s="1"/>
  <c r="BN31" i="6"/>
  <c r="AS49" i="15"/>
  <c r="AQ49" i="15"/>
  <c r="BZ97" i="6"/>
  <c r="BG93" i="8"/>
  <c r="T11" i="6"/>
  <c r="U11" i="6" s="1"/>
  <c r="BG37" i="8"/>
  <c r="BG18" i="8"/>
  <c r="BJ37" i="8"/>
  <c r="BP125" i="6"/>
  <c r="AC37" i="8"/>
  <c r="F14" i="8"/>
  <c r="B14" i="8" s="1"/>
  <c r="G14" i="6"/>
  <c r="AB12" i="10"/>
  <c r="H6" i="12"/>
  <c r="X12" i="12"/>
  <c r="H44" i="12"/>
  <c r="G39" i="12"/>
  <c r="E121" i="12"/>
  <c r="AB6" i="12"/>
  <c r="X6" i="14"/>
  <c r="H61" i="12"/>
  <c r="H72" i="12" s="1"/>
  <c r="X44" i="12"/>
  <c r="AB46" i="10"/>
  <c r="G118" i="12"/>
  <c r="G117" i="12"/>
  <c r="G115" i="12"/>
  <c r="G116" i="12"/>
  <c r="G6" i="12"/>
  <c r="G49" i="12"/>
  <c r="Q134" i="6" s="1"/>
  <c r="B31" i="12"/>
  <c r="B49" i="12"/>
  <c r="B134" i="6"/>
  <c r="E6" i="12"/>
  <c r="F6" i="12"/>
  <c r="F49" i="12" s="1"/>
  <c r="N134" i="6" s="1"/>
  <c r="F31" i="12"/>
  <c r="E31" i="12"/>
  <c r="E49" i="12" s="1"/>
  <c r="J56" i="12"/>
  <c r="K56" i="12"/>
  <c r="L56" i="12"/>
  <c r="K134" i="6"/>
  <c r="T19" i="6" l="1"/>
  <c r="BH16" i="15" s="1"/>
  <c r="U19" i="8"/>
  <c r="T67" i="12"/>
  <c r="T68" i="12" s="1"/>
  <c r="T69" i="12" s="1"/>
  <c r="T70" i="12" s="1"/>
  <c r="B59" i="6"/>
  <c r="G59" i="6" s="1"/>
  <c r="K56" i="8" s="1"/>
  <c r="T58" i="6"/>
  <c r="Y16" i="6"/>
  <c r="AB52" i="6"/>
  <c r="Y40" i="6"/>
  <c r="Y28" i="6"/>
  <c r="AO9" i="8"/>
  <c r="T21" i="6"/>
  <c r="AO11" i="8"/>
  <c r="AQ19" i="6"/>
  <c r="AU120" i="6"/>
  <c r="AU121" i="6"/>
  <c r="O11" i="8"/>
  <c r="Q11" i="8"/>
  <c r="AO56" i="8"/>
  <c r="AK56" i="8"/>
  <c r="BK19" i="8"/>
  <c r="BL19" i="8" s="1"/>
  <c r="AP72" i="8"/>
  <c r="AO72" i="8" s="1"/>
  <c r="AV72" i="8"/>
  <c r="AU72" i="8" s="1"/>
  <c r="AV6" i="8"/>
  <c r="AC12" i="8"/>
  <c r="BN116" i="6"/>
  <c r="BG113" i="8"/>
  <c r="BJ113" i="8" s="1"/>
  <c r="BD16" i="15"/>
  <c r="AY19" i="8"/>
  <c r="AX72" i="8"/>
  <c r="AW72" i="8" s="1"/>
  <c r="U75" i="6"/>
  <c r="N75" i="6"/>
  <c r="AO10" i="8"/>
  <c r="AC10" i="8"/>
  <c r="BD11" i="6"/>
  <c r="BG11" i="6" s="1"/>
  <c r="BD12" i="6"/>
  <c r="BG10" i="6"/>
  <c r="BH10" i="6" s="1"/>
  <c r="AT108" i="8"/>
  <c r="BJ108" i="8"/>
  <c r="A90" i="15"/>
  <c r="A93" i="8"/>
  <c r="Y49" i="6"/>
  <c r="AB49" i="6"/>
  <c r="AR34" i="6"/>
  <c r="V31" i="15" s="1"/>
  <c r="Y34" i="6"/>
  <c r="Y10" i="6"/>
  <c r="BQ10" i="6" s="1"/>
  <c r="BR10" i="6" s="1"/>
  <c r="AR10" i="6"/>
  <c r="V10" i="15" s="1"/>
  <c r="G10" i="15" s="1"/>
  <c r="Q31" i="15"/>
  <c r="Q6" i="15" s="1"/>
  <c r="AE34" i="6"/>
  <c r="BX34" i="6" s="1"/>
  <c r="BY34" i="6" s="1"/>
  <c r="BO19" i="6"/>
  <c r="CA19" i="6"/>
  <c r="U8" i="8"/>
  <c r="T8" i="6"/>
  <c r="BG8" i="8" s="1"/>
  <c r="W16" i="8"/>
  <c r="BP16" i="6"/>
  <c r="CA16" i="6" s="1"/>
  <c r="I55" i="6"/>
  <c r="AV46" i="15"/>
  <c r="H52" i="8"/>
  <c r="C52" i="8" s="1"/>
  <c r="BK52" i="8" s="1"/>
  <c r="BL52" i="8" s="1"/>
  <c r="B57" i="6"/>
  <c r="F54" i="8" s="1"/>
  <c r="BG11" i="8"/>
  <c r="AK15" i="8"/>
  <c r="BJ10" i="8"/>
  <c r="BG55" i="8"/>
  <c r="AO12" i="8"/>
  <c r="F56" i="8"/>
  <c r="S7" i="8"/>
  <c r="Q7" i="8"/>
  <c r="AQ38" i="8"/>
  <c r="AC38" i="8" s="1"/>
  <c r="AR28" i="6"/>
  <c r="V25" i="15" s="1"/>
  <c r="G25" i="15" s="1"/>
  <c r="BP40" i="6"/>
  <c r="CA40" i="6" s="1"/>
  <c r="B55" i="6"/>
  <c r="BJ6" i="6"/>
  <c r="BP5" i="6" s="1"/>
  <c r="T10" i="6"/>
  <c r="T9" i="6"/>
  <c r="BG9" i="8" s="1"/>
  <c r="AX6" i="8"/>
  <c r="K59" i="6"/>
  <c r="N53" i="6"/>
  <c r="AQ50" i="8" s="1"/>
  <c r="AU58" i="6"/>
  <c r="K60" i="6"/>
  <c r="U57" i="8" s="1"/>
  <c r="BC55" i="8"/>
  <c r="AY55" i="8"/>
  <c r="BA58" i="6"/>
  <c r="AB58" i="6"/>
  <c r="B56" i="6"/>
  <c r="N52" i="6"/>
  <c r="AQ49" i="8" s="1"/>
  <c r="G52" i="6"/>
  <c r="I49" i="8"/>
  <c r="AB43" i="6"/>
  <c r="K65" i="12"/>
  <c r="U27" i="8"/>
  <c r="AW20" i="8"/>
  <c r="AU20" i="8"/>
  <c r="AG6" i="6"/>
  <c r="A37" i="15"/>
  <c r="A40" i="8"/>
  <c r="A52" i="8"/>
  <c r="A46" i="15"/>
  <c r="A60" i="8"/>
  <c r="A57" i="15"/>
  <c r="A59" i="15"/>
  <c r="A62" i="8"/>
  <c r="A60" i="15"/>
  <c r="A63" i="8"/>
  <c r="BZ70" i="6"/>
  <c r="A80" i="8"/>
  <c r="A77" i="15"/>
  <c r="A82" i="8"/>
  <c r="A79" i="15"/>
  <c r="AY84" i="15"/>
  <c r="K87" i="8"/>
  <c r="A90" i="8"/>
  <c r="A87" i="15"/>
  <c r="A88" i="15"/>
  <c r="A91" i="8"/>
  <c r="A106" i="15"/>
  <c r="A110" i="8"/>
  <c r="K67" i="12"/>
  <c r="K68" i="12" s="1"/>
  <c r="K69" i="12" s="1"/>
  <c r="K70" i="12" s="1"/>
  <c r="G58" i="6"/>
  <c r="K55" i="8" s="1"/>
  <c r="V67" i="12"/>
  <c r="V68" i="12" s="1"/>
  <c r="V69" i="12" s="1"/>
  <c r="V70" i="12" s="1"/>
  <c r="AW7" i="15"/>
  <c r="G7" i="6"/>
  <c r="I7" i="8"/>
  <c r="A121" i="8"/>
  <c r="A117" i="15"/>
  <c r="A120" i="15"/>
  <c r="A124" i="8"/>
  <c r="BK49" i="8"/>
  <c r="BL49" i="8" s="1"/>
  <c r="AR7" i="6"/>
  <c r="BP7" i="6" s="1"/>
  <c r="Y7" i="6"/>
  <c r="BX7" i="6" s="1"/>
  <c r="BY7" i="6" s="1"/>
  <c r="BP10" i="6"/>
  <c r="AE41" i="6"/>
  <c r="BJ71" i="6"/>
  <c r="P65" i="12"/>
  <c r="P67" i="12" s="1"/>
  <c r="P68" i="12" s="1"/>
  <c r="P69" i="12" s="1"/>
  <c r="P70" i="12" s="1"/>
  <c r="Q13" i="8"/>
  <c r="S13" i="8"/>
  <c r="AM15" i="8"/>
  <c r="O13" i="8"/>
  <c r="T16" i="15"/>
  <c r="AM37" i="8"/>
  <c r="BH13" i="15"/>
  <c r="BX19" i="6"/>
  <c r="BY19" i="6" s="1"/>
  <c r="T53" i="6"/>
  <c r="U53" i="6" s="1"/>
  <c r="BJ49" i="8"/>
  <c r="S50" i="8"/>
  <c r="O50" i="8"/>
  <c r="Q50" i="8"/>
  <c r="BG50" i="8"/>
  <c r="T134" i="6"/>
  <c r="B138" i="6" s="1"/>
  <c r="H55" i="12"/>
  <c r="AB6" i="10"/>
  <c r="G121" i="12"/>
  <c r="G119" i="12"/>
  <c r="G114" i="12"/>
  <c r="G120" i="12"/>
  <c r="U21" i="6"/>
  <c r="BG21" i="8"/>
  <c r="U36" i="6"/>
  <c r="BG36" i="8"/>
  <c r="AM38" i="8"/>
  <c r="O10" i="8"/>
  <c r="AC52" i="8"/>
  <c r="AI52" i="8"/>
  <c r="Y52" i="8"/>
  <c r="AA52" i="8"/>
  <c r="U21" i="8"/>
  <c r="T17" i="6"/>
  <c r="O17" i="6" s="1"/>
  <c r="G57" i="6"/>
  <c r="K54" i="8" s="1"/>
  <c r="AO50" i="8"/>
  <c r="AC50" i="8"/>
  <c r="AK50" i="8"/>
  <c r="O14" i="8"/>
  <c r="Q14" i="8"/>
  <c r="S14" i="8"/>
  <c r="AO57" i="8"/>
  <c r="BQ58" i="6"/>
  <c r="BR58" i="6" s="1"/>
  <c r="AQ58" i="6"/>
  <c r="AC58" i="6" s="1"/>
  <c r="T35" i="6"/>
  <c r="O35" i="6" s="1"/>
  <c r="AQ35" i="8"/>
  <c r="AC39" i="8"/>
  <c r="BK37" i="8"/>
  <c r="BL37" i="8" s="1"/>
  <c r="BK43" i="6"/>
  <c r="H39" i="12"/>
  <c r="C7" i="6"/>
  <c r="U7" i="6"/>
  <c r="R7" i="6"/>
  <c r="O7" i="6"/>
  <c r="BH7" i="15"/>
  <c r="T34" i="6"/>
  <c r="O34" i="6" s="1"/>
  <c r="AQ34" i="8"/>
  <c r="U9" i="6"/>
  <c r="L16" i="15"/>
  <c r="B16" i="15"/>
  <c r="AB16" i="15"/>
  <c r="J16" i="15"/>
  <c r="Z16" i="15"/>
  <c r="AQ14" i="8"/>
  <c r="U49" i="8"/>
  <c r="BX52" i="6"/>
  <c r="BY52" i="6" s="1"/>
  <c r="T52" i="6"/>
  <c r="L52" i="6" s="1"/>
  <c r="U53" i="8"/>
  <c r="S11" i="8"/>
  <c r="T14" i="6"/>
  <c r="U14" i="6" s="1"/>
  <c r="C114" i="12"/>
  <c r="BP95" i="6"/>
  <c r="AT37" i="8"/>
  <c r="AY49" i="15"/>
  <c r="AM39" i="8"/>
  <c r="U17" i="8"/>
  <c r="S10" i="8"/>
  <c r="BH90" i="15"/>
  <c r="BN96" i="6"/>
  <c r="AQ13" i="8"/>
  <c r="AY10" i="15"/>
  <c r="BK10" i="8"/>
  <c r="BL10" i="8" s="1"/>
  <c r="AG15" i="8"/>
  <c r="AC15" i="8"/>
  <c r="AI15" i="8"/>
  <c r="F80" i="12"/>
  <c r="F78" i="12"/>
  <c r="X40" i="12"/>
  <c r="X39" i="12" s="1"/>
  <c r="AK52" i="8"/>
  <c r="BK31" i="6"/>
  <c r="T28" i="15"/>
  <c r="T57" i="6"/>
  <c r="U20" i="6"/>
  <c r="BG20" i="8"/>
  <c r="F16" i="15"/>
  <c r="AO52" i="8"/>
  <c r="N16" i="15"/>
  <c r="R16" i="15"/>
  <c r="X16" i="15"/>
  <c r="G22" i="16"/>
  <c r="F22" i="16"/>
  <c r="E22" i="16"/>
  <c r="D22" i="16"/>
  <c r="E102" i="12"/>
  <c r="E82" i="12"/>
  <c r="P31" i="12"/>
  <c r="AC13" i="6"/>
  <c r="BX10" i="6"/>
  <c r="BY10" i="6" s="1"/>
  <c r="AQ10" i="6"/>
  <c r="BG55" i="6"/>
  <c r="BB55" i="6" s="1"/>
  <c r="BX55" i="6"/>
  <c r="BY55" i="6" s="1"/>
  <c r="AQ55" i="6"/>
  <c r="Z55" i="6" s="1"/>
  <c r="BK28" i="6"/>
  <c r="BQ28" i="6"/>
  <c r="BR28" i="6" s="1"/>
  <c r="BX96" i="6"/>
  <c r="BY96" i="6" s="1"/>
  <c r="AQ93" i="8"/>
  <c r="Q10" i="8"/>
  <c r="U56" i="8"/>
  <c r="AQ51" i="8"/>
  <c r="T54" i="6"/>
  <c r="L54" i="6" s="1"/>
  <c r="AI49" i="8"/>
  <c r="Y49" i="8"/>
  <c r="AK49" i="8"/>
  <c r="AQ52" i="6"/>
  <c r="AC52" i="6" s="1"/>
  <c r="U15" i="8"/>
  <c r="Z13" i="6"/>
  <c r="U19" i="6"/>
  <c r="BK19" i="6" s="1"/>
  <c r="BG19" i="8"/>
  <c r="BK46" i="6"/>
  <c r="BN46" i="6"/>
  <c r="AD16" i="8"/>
  <c r="AM18" i="8"/>
  <c r="O58" i="6"/>
  <c r="AQ55" i="8"/>
  <c r="A58" i="15"/>
  <c r="A61" i="8"/>
  <c r="A61" i="15"/>
  <c r="A64" i="8"/>
  <c r="A66" i="15"/>
  <c r="A70" i="8"/>
  <c r="A72" i="8"/>
  <c r="A69" i="15"/>
  <c r="A74" i="8"/>
  <c r="A71" i="15"/>
  <c r="A78" i="8"/>
  <c r="A75" i="15"/>
  <c r="A84" i="8"/>
  <c r="A81" i="15"/>
  <c r="A86" i="8"/>
  <c r="A83" i="15"/>
  <c r="A89" i="15"/>
  <c r="A92" i="8"/>
  <c r="A101" i="8"/>
  <c r="A97" i="15"/>
  <c r="A105" i="15"/>
  <c r="A108" i="8"/>
  <c r="A107" i="15"/>
  <c r="A111" i="8"/>
  <c r="A111" i="15"/>
  <c r="A114" i="8"/>
  <c r="AD7" i="8"/>
  <c r="BJ7" i="8" s="1"/>
  <c r="AO7" i="8"/>
  <c r="Y7" i="8"/>
  <c r="H123" i="15"/>
  <c r="BL98" i="6"/>
  <c r="BI92" i="15"/>
  <c r="BH95" i="8"/>
  <c r="AB8" i="10"/>
  <c r="AB8" i="12"/>
  <c r="X8" i="12"/>
  <c r="H24" i="12"/>
  <c r="AB25" i="10"/>
  <c r="X19" i="14"/>
  <c r="D23" i="9"/>
  <c r="J23" i="9"/>
  <c r="O7" i="14" s="1"/>
  <c r="O6" i="14" s="1"/>
  <c r="L23" i="9"/>
  <c r="AB32" i="10"/>
  <c r="AC32" i="10" s="1"/>
  <c r="X26" i="14"/>
  <c r="H31" i="12"/>
  <c r="AQ7" i="6"/>
  <c r="AI7" i="6" s="1"/>
  <c r="AE12" i="6"/>
  <c r="AE11" i="6"/>
  <c r="T13" i="6"/>
  <c r="U13" i="6" s="1"/>
  <c r="BJ19" i="8"/>
  <c r="AC11" i="8"/>
  <c r="U76" i="12" s="1"/>
  <c r="Y16" i="8"/>
  <c r="AG18" i="8"/>
  <c r="BQ19" i="6"/>
  <c r="BR19" i="6" s="1"/>
  <c r="BN19" i="6"/>
  <c r="AM17" i="8"/>
  <c r="T90" i="6"/>
  <c r="BX90" i="6"/>
  <c r="BY90" i="6" s="1"/>
  <c r="BZ100" i="6"/>
  <c r="O37" i="6"/>
  <c r="AE42" i="6"/>
  <c r="AG16" i="8"/>
  <c r="O57" i="6"/>
  <c r="AQ54" i="8"/>
  <c r="L58" i="6"/>
  <c r="U55" i="8"/>
  <c r="AQ53" i="8"/>
  <c r="U51" i="8"/>
  <c r="AG17" i="8"/>
  <c r="O36" i="6"/>
  <c r="AQ36" i="8"/>
  <c r="A62" i="15"/>
  <c r="M23" i="9"/>
  <c r="L53" i="6"/>
  <c r="O53" i="6"/>
  <c r="L14" i="6"/>
  <c r="L13" i="6"/>
  <c r="O52" i="6"/>
  <c r="Z31" i="6"/>
  <c r="R20" i="6"/>
  <c r="AC46" i="6"/>
  <c r="O11" i="6"/>
  <c r="R19" i="6"/>
  <c r="O16" i="6"/>
  <c r="Z19" i="6"/>
  <c r="Y21" i="6" s="1"/>
  <c r="U8" i="6"/>
  <c r="AO7" i="6"/>
  <c r="AF19" i="6"/>
  <c r="Z46" i="6"/>
  <c r="AB22" i="10"/>
  <c r="H19" i="12"/>
  <c r="BG7" i="6"/>
  <c r="BE7" i="6" s="1"/>
  <c r="L10" i="6"/>
  <c r="A121" i="15"/>
  <c r="A125" i="8"/>
  <c r="AC21" i="12"/>
  <c r="Y33" i="6"/>
  <c r="U38" i="6"/>
  <c r="BG38" i="8"/>
  <c r="U39" i="6"/>
  <c r="BG39" i="8"/>
  <c r="AN40" i="6"/>
  <c r="BQ40" i="6" s="1"/>
  <c r="BR40" i="6" s="1"/>
  <c r="AE40" i="6"/>
  <c r="AT55" i="8"/>
  <c r="AD55" i="8"/>
  <c r="AR25" i="6"/>
  <c r="V22" i="15" s="1"/>
  <c r="M22" i="15" s="1"/>
  <c r="Y25" i="6"/>
  <c r="AR37" i="6"/>
  <c r="V34" i="15" s="1"/>
  <c r="G34" i="15" s="1"/>
  <c r="Y37" i="6"/>
  <c r="BQ37" i="6" s="1"/>
  <c r="BR37" i="6" s="1"/>
  <c r="V7" i="15"/>
  <c r="G7" i="15" s="1"/>
  <c r="Z10" i="6"/>
  <c r="O43" i="15"/>
  <c r="O6" i="15" s="1"/>
  <c r="AR52" i="6"/>
  <c r="V43" i="15" s="1"/>
  <c r="AR13" i="6"/>
  <c r="AA6" i="6"/>
  <c r="L11" i="6"/>
  <c r="AB92" i="6"/>
  <c r="P38" i="12"/>
  <c r="J37" i="12"/>
  <c r="P37" i="12" s="1"/>
  <c r="AB37" i="12" s="1"/>
  <c r="AB129" i="6"/>
  <c r="BJ127" i="6"/>
  <c r="B98" i="6"/>
  <c r="BR98" i="6"/>
  <c r="BK49" i="6"/>
  <c r="R21" i="6"/>
  <c r="AY21" i="8"/>
  <c r="AK16" i="6"/>
  <c r="AH16" i="6"/>
  <c r="Y20" i="6"/>
  <c r="AQ32" i="6"/>
  <c r="AD34" i="8"/>
  <c r="BK34" i="8" s="1"/>
  <c r="BL34" i="8" s="1"/>
  <c r="BP52" i="6"/>
  <c r="CA52" i="6" s="1"/>
  <c r="BP58" i="6"/>
  <c r="W55" i="8"/>
  <c r="R55" i="8" s="1"/>
  <c r="Q57" i="8" s="1"/>
  <c r="L7" i="6"/>
  <c r="BG12" i="6"/>
  <c r="BH12" i="6" s="1"/>
  <c r="O10" i="6"/>
  <c r="BL68" i="6"/>
  <c r="U62" i="15"/>
  <c r="A112" i="15"/>
  <c r="A115" i="8"/>
  <c r="X11" i="12"/>
  <c r="AB11" i="12"/>
  <c r="AC11" i="12" s="1"/>
  <c r="T31" i="12"/>
  <c r="T49" i="12" s="1"/>
  <c r="V32" i="12"/>
  <c r="AC42" i="12"/>
  <c r="C110" i="12"/>
  <c r="D106" i="12"/>
  <c r="I26" i="10"/>
  <c r="G24" i="10"/>
  <c r="I24" i="10" s="1"/>
  <c r="AE128" i="8"/>
  <c r="S49" i="12"/>
  <c r="BH105" i="15"/>
  <c r="BN111" i="6"/>
  <c r="X26" i="12"/>
  <c r="X24" i="12" s="1"/>
  <c r="AB26" i="10"/>
  <c r="B15" i="6"/>
  <c r="AE15" i="6"/>
  <c r="O18" i="6"/>
  <c r="O38" i="6"/>
  <c r="O39" i="6"/>
  <c r="BP43" i="6"/>
  <c r="CA43" i="6" s="1"/>
  <c r="AR43" i="6"/>
  <c r="V40" i="15" s="1"/>
  <c r="O8" i="6"/>
  <c r="K12" i="6"/>
  <c r="Y8" i="6"/>
  <c r="Y9" i="6"/>
  <c r="O9" i="6"/>
  <c r="B13" i="8"/>
  <c r="C13" i="6"/>
  <c r="AT34" i="8" l="1"/>
  <c r="BX28" i="6"/>
  <c r="BY28" i="6" s="1"/>
  <c r="AQ28" i="6"/>
  <c r="BG58" i="6"/>
  <c r="G31" i="15"/>
  <c r="U58" i="6"/>
  <c r="BH49" i="15"/>
  <c r="BB58" i="6"/>
  <c r="CA10" i="6"/>
  <c r="BO10" i="6"/>
  <c r="CA7" i="6"/>
  <c r="BO7" i="6"/>
  <c r="AQ43" i="6"/>
  <c r="BX43" i="6"/>
  <c r="BY43" i="6" s="1"/>
  <c r="K49" i="8"/>
  <c r="AY43" i="15"/>
  <c r="G56" i="6"/>
  <c r="K53" i="8" s="1"/>
  <c r="F53" i="8"/>
  <c r="B53" i="8" s="1"/>
  <c r="M52" i="8"/>
  <c r="BA46" i="15"/>
  <c r="AQ49" i="6"/>
  <c r="Z49" i="6" s="1"/>
  <c r="BX49" i="6"/>
  <c r="BY49" i="6" s="1"/>
  <c r="BL75" i="6"/>
  <c r="BI69" i="15"/>
  <c r="BH72" i="8"/>
  <c r="AU19" i="8"/>
  <c r="AW19" i="8"/>
  <c r="L9" i="6"/>
  <c r="Z7" i="6"/>
  <c r="BJ131" i="6"/>
  <c r="L8" i="6"/>
  <c r="G43" i="15"/>
  <c r="Z52" i="6"/>
  <c r="Y53" i="6" s="1"/>
  <c r="BX58" i="6"/>
  <c r="BY58" i="6" s="1"/>
  <c r="BQ52" i="6"/>
  <c r="BR52" i="6" s="1"/>
  <c r="BQ34" i="6"/>
  <c r="BR34" i="6" s="1"/>
  <c r="T56" i="6"/>
  <c r="O56" i="6" s="1"/>
  <c r="AY7" i="15"/>
  <c r="K7" i="8"/>
  <c r="AO49" i="8"/>
  <c r="AC49" i="8"/>
  <c r="U10" i="6"/>
  <c r="BK10" i="6" s="1"/>
  <c r="BG10" i="8"/>
  <c r="BH10" i="15"/>
  <c r="AU46" i="15"/>
  <c r="F52" i="8"/>
  <c r="B52" i="8" s="1"/>
  <c r="T55" i="6"/>
  <c r="G55" i="6"/>
  <c r="B54" i="8"/>
  <c r="O8" i="8"/>
  <c r="Q8" i="8"/>
  <c r="S8" i="8"/>
  <c r="AQ34" i="6"/>
  <c r="AQ72" i="8"/>
  <c r="AT72" i="8" s="1"/>
  <c r="BX75" i="6"/>
  <c r="BY75" i="6" s="1"/>
  <c r="T75" i="6"/>
  <c r="BQ75" i="6"/>
  <c r="BR75" i="6" s="1"/>
  <c r="BP116" i="6"/>
  <c r="BZ116" i="6"/>
  <c r="BJ52" i="8"/>
  <c r="AU128" i="6"/>
  <c r="AU119" i="6"/>
  <c r="BQ7" i="6"/>
  <c r="BR7" i="6" s="1"/>
  <c r="C14" i="6"/>
  <c r="AQ16" i="6"/>
  <c r="T13" i="15" s="1"/>
  <c r="D16" i="15"/>
  <c r="P16" i="15"/>
  <c r="BD8" i="6"/>
  <c r="BD9" i="6"/>
  <c r="AU24" i="6"/>
  <c r="AU23" i="6"/>
  <c r="T58" i="12"/>
  <c r="U60" i="12"/>
  <c r="T55" i="12"/>
  <c r="BA134" i="6"/>
  <c r="BK16" i="6"/>
  <c r="BN16" i="6"/>
  <c r="AB60" i="6"/>
  <c r="AB59" i="6"/>
  <c r="T12" i="6"/>
  <c r="L12" i="6" s="1"/>
  <c r="U12" i="8"/>
  <c r="F15" i="8"/>
  <c r="B15" i="8" s="1"/>
  <c r="T15" i="6"/>
  <c r="G15" i="6"/>
  <c r="N50" i="10"/>
  <c r="N49" i="14"/>
  <c r="X32" i="12"/>
  <c r="X31" i="12" s="1"/>
  <c r="AB32" i="12"/>
  <c r="V31" i="12"/>
  <c r="R58" i="6"/>
  <c r="CA58" i="6"/>
  <c r="T29" i="15"/>
  <c r="BN32" i="6"/>
  <c r="BQ16" i="6"/>
  <c r="BR16" i="6" s="1"/>
  <c r="AK6" i="6"/>
  <c r="T98" i="6"/>
  <c r="BX98" i="6"/>
  <c r="BY98" i="6" s="1"/>
  <c r="F95" i="8"/>
  <c r="B95" i="8" s="1"/>
  <c r="AQ129" i="6"/>
  <c r="BN129" i="6" s="1"/>
  <c r="BX129" i="6"/>
  <c r="BY129" i="6" s="1"/>
  <c r="X38" i="12"/>
  <c r="X37" i="12" s="1"/>
  <c r="AC37" i="12" s="1"/>
  <c r="AB38" i="12"/>
  <c r="AC38" i="12" s="1"/>
  <c r="BX92" i="6"/>
  <c r="BY92" i="6" s="1"/>
  <c r="AQ92" i="6"/>
  <c r="BN92" i="6" s="1"/>
  <c r="Y11" i="6"/>
  <c r="Y12" i="6"/>
  <c r="AR6" i="6"/>
  <c r="Z74" i="6" s="1"/>
  <c r="Y74" i="6" s="1"/>
  <c r="M6" i="15"/>
  <c r="BX33" i="6"/>
  <c r="BY33" i="6" s="1"/>
  <c r="AQ33" i="6"/>
  <c r="AU118" i="6"/>
  <c r="AU112" i="6"/>
  <c r="AU109" i="6"/>
  <c r="BB7" i="6"/>
  <c r="AE21" i="6"/>
  <c r="AE20" i="6"/>
  <c r="Y57" i="6"/>
  <c r="Y56" i="6"/>
  <c r="AB47" i="6"/>
  <c r="AB48" i="6"/>
  <c r="AK54" i="8"/>
  <c r="AC54" i="8"/>
  <c r="AO54" i="8"/>
  <c r="AM54" i="8"/>
  <c r="BN90" i="6"/>
  <c r="BG87" i="8"/>
  <c r="BJ87" i="8" s="1"/>
  <c r="BH84" i="15"/>
  <c r="T7" i="15"/>
  <c r="X25" i="14"/>
  <c r="S24" i="9"/>
  <c r="H65" i="12"/>
  <c r="H68" i="12" s="1"/>
  <c r="H70" i="12" s="1"/>
  <c r="AB31" i="10"/>
  <c r="P56" i="12"/>
  <c r="V32" i="10"/>
  <c r="X32" i="10" s="1"/>
  <c r="C32" i="10"/>
  <c r="S26" i="9"/>
  <c r="U26" i="9" s="1"/>
  <c r="AB24" i="10"/>
  <c r="X17" i="14"/>
  <c r="AC8" i="12"/>
  <c r="Y55" i="8"/>
  <c r="Y6" i="8" s="1"/>
  <c r="G11" i="9" s="1"/>
  <c r="AA55" i="8"/>
  <c r="AA6" i="8" s="1"/>
  <c r="H11" i="9" s="1"/>
  <c r="AO55" i="8"/>
  <c r="AC55" i="8"/>
  <c r="AK55" i="8"/>
  <c r="S15" i="8"/>
  <c r="O15" i="8"/>
  <c r="Q15" i="8"/>
  <c r="BN52" i="6"/>
  <c r="T43" i="15"/>
  <c r="U54" i="6"/>
  <c r="BG51" i="8"/>
  <c r="O54" i="6"/>
  <c r="Q56" i="8"/>
  <c r="O56" i="8"/>
  <c r="S56" i="8"/>
  <c r="AC93" i="8"/>
  <c r="BJ93" i="8" s="1"/>
  <c r="T46" i="15"/>
  <c r="BH55" i="6"/>
  <c r="BN55" i="6"/>
  <c r="T10" i="15"/>
  <c r="BN10" i="6"/>
  <c r="AC10" i="6"/>
  <c r="J49" i="12"/>
  <c r="Y134" i="6" s="1"/>
  <c r="AU115" i="6"/>
  <c r="U57" i="6"/>
  <c r="BG54" i="8"/>
  <c r="BJ34" i="8"/>
  <c r="C50" i="12"/>
  <c r="H101" i="12"/>
  <c r="I101" i="12" s="1"/>
  <c r="J101" i="12" s="1"/>
  <c r="AO13" i="8"/>
  <c r="AI13" i="8"/>
  <c r="AK13" i="8"/>
  <c r="AG13" i="8"/>
  <c r="AC13" i="8"/>
  <c r="AM13" i="8"/>
  <c r="BP96" i="6"/>
  <c r="BZ96" i="6"/>
  <c r="U56" i="6"/>
  <c r="U52" i="6"/>
  <c r="BG49" i="8"/>
  <c r="BH43" i="15"/>
  <c r="Q49" i="8"/>
  <c r="S49" i="8"/>
  <c r="O49" i="8"/>
  <c r="O14" i="6"/>
  <c r="U34" i="6"/>
  <c r="BK34" i="6" s="1"/>
  <c r="BG34" i="8"/>
  <c r="BH31" i="15"/>
  <c r="O13" i="6"/>
  <c r="AM35" i="8"/>
  <c r="AC35" i="8"/>
  <c r="BH58" i="6"/>
  <c r="BN58" i="6"/>
  <c r="C57" i="6"/>
  <c r="BX21" i="6"/>
  <c r="BY21" i="6" s="1"/>
  <c r="K138" i="6"/>
  <c r="Q138" i="6"/>
  <c r="AE40" i="15"/>
  <c r="G40" i="15"/>
  <c r="BP111" i="6"/>
  <c r="BZ111" i="6"/>
  <c r="V49" i="12"/>
  <c r="AW134" i="6"/>
  <c r="E106" i="12"/>
  <c r="D110" i="12"/>
  <c r="D100" i="12"/>
  <c r="F100" i="12" s="1"/>
  <c r="BK55" i="8"/>
  <c r="BL55" i="8" s="1"/>
  <c r="R6" i="8"/>
  <c r="Q55" i="8"/>
  <c r="Z32" i="6"/>
  <c r="AH6" i="6"/>
  <c r="BX16" i="6"/>
  <c r="BY16" i="6" s="1"/>
  <c r="AU21" i="8"/>
  <c r="AU6" i="8" s="1"/>
  <c r="P11" i="9" s="1"/>
  <c r="AW21" i="8"/>
  <c r="AW6" i="8" s="1"/>
  <c r="Q11" i="9" s="1"/>
  <c r="AO86" i="6"/>
  <c r="AN86" i="6" s="1"/>
  <c r="AO88" i="6"/>
  <c r="AN88" i="6" s="1"/>
  <c r="AO128" i="6"/>
  <c r="AO110" i="6"/>
  <c r="AN110" i="6" s="1"/>
  <c r="AO121" i="6"/>
  <c r="AN121" i="6" s="1"/>
  <c r="AO112" i="6"/>
  <c r="AN112" i="6" s="1"/>
  <c r="AO104" i="6"/>
  <c r="AN104" i="6" s="1"/>
  <c r="AO117" i="6"/>
  <c r="AN117" i="6" s="1"/>
  <c r="AO119" i="6"/>
  <c r="AN119" i="6" s="1"/>
  <c r="AO87" i="6"/>
  <c r="AN87" i="6" s="1"/>
  <c r="AO120" i="6"/>
  <c r="AN120" i="6" s="1"/>
  <c r="AO118" i="6"/>
  <c r="AN118" i="6" s="1"/>
  <c r="AO80" i="6"/>
  <c r="AN80" i="6" s="1"/>
  <c r="AO126" i="6"/>
  <c r="AN126" i="6" s="1"/>
  <c r="AN124" i="6" s="1"/>
  <c r="AO106" i="6"/>
  <c r="AN106" i="6" s="1"/>
  <c r="AO105" i="6"/>
  <c r="AN105" i="6" s="1"/>
  <c r="AO78" i="6"/>
  <c r="AN78" i="6" s="1"/>
  <c r="AO103" i="6"/>
  <c r="AN103" i="6" s="1"/>
  <c r="AO79" i="6"/>
  <c r="AN79" i="6" s="1"/>
  <c r="Z123" i="6"/>
  <c r="Y123" i="6" s="1"/>
  <c r="AO130" i="6"/>
  <c r="Z108" i="6"/>
  <c r="Y108" i="6" s="1"/>
  <c r="AQ37" i="6"/>
  <c r="BX37" i="6"/>
  <c r="BY37" i="6" s="1"/>
  <c r="AQ25" i="6"/>
  <c r="Z25" i="6" s="1"/>
  <c r="BJ55" i="8"/>
  <c r="AC56" i="8"/>
  <c r="BX40" i="6"/>
  <c r="BY40" i="6" s="1"/>
  <c r="AQ40" i="6"/>
  <c r="AU126" i="6"/>
  <c r="AU124" i="6" s="1"/>
  <c r="AU110" i="6"/>
  <c r="AU130" i="6"/>
  <c r="AU117" i="6"/>
  <c r="U88" i="15"/>
  <c r="U72" i="15"/>
  <c r="U112" i="15"/>
  <c r="U85" i="15"/>
  <c r="U79" i="15"/>
  <c r="U82" i="15"/>
  <c r="U56" i="15"/>
  <c r="U103" i="15"/>
  <c r="BH7" i="6"/>
  <c r="BN7" i="6"/>
  <c r="AB19" i="10"/>
  <c r="AB19" i="12"/>
  <c r="AC19" i="12" s="1"/>
  <c r="H49" i="12"/>
  <c r="Y48" i="6"/>
  <c r="Y47" i="6"/>
  <c r="BH11" i="6"/>
  <c r="Y54" i="6"/>
  <c r="M29" i="9"/>
  <c r="R7" i="14"/>
  <c r="R6" i="14" s="1"/>
  <c r="R47" i="14" s="1"/>
  <c r="M21" i="9"/>
  <c r="AM36" i="8"/>
  <c r="AC36" i="8"/>
  <c r="Q51" i="8"/>
  <c r="O51" i="8"/>
  <c r="S51" i="8"/>
  <c r="AM53" i="8"/>
  <c r="AK53" i="8"/>
  <c r="AC53" i="8"/>
  <c r="AO53" i="8"/>
  <c r="O55" i="8"/>
  <c r="S55" i="8"/>
  <c r="AC7" i="6"/>
  <c r="Y26" i="14"/>
  <c r="Q7" i="14"/>
  <c r="Q6" i="14" s="1"/>
  <c r="Q7" i="10"/>
  <c r="Q6" i="10" s="1"/>
  <c r="F7" i="14"/>
  <c r="F6" i="14" s="1"/>
  <c r="F7" i="10"/>
  <c r="F6" i="10" s="1"/>
  <c r="X6" i="12"/>
  <c r="AC8" i="8"/>
  <c r="AT7" i="8"/>
  <c r="AC7" i="8"/>
  <c r="AD6" i="8"/>
  <c r="BK7" i="8"/>
  <c r="BL7" i="8" s="1"/>
  <c r="AC9" i="8"/>
  <c r="BK16" i="8"/>
  <c r="BL16" i="8" s="1"/>
  <c r="BJ16" i="8"/>
  <c r="AC18" i="8"/>
  <c r="AT16" i="8"/>
  <c r="AC16" i="8"/>
  <c r="AC17" i="8"/>
  <c r="AB53" i="6"/>
  <c r="AB54" i="6"/>
  <c r="AO51" i="8"/>
  <c r="AC51" i="8"/>
  <c r="AK51" i="8"/>
  <c r="BA56" i="6"/>
  <c r="BA57" i="6"/>
  <c r="AB15" i="6"/>
  <c r="AB14" i="6"/>
  <c r="P49" i="12"/>
  <c r="AQ134" i="6" s="1"/>
  <c r="S57" i="8"/>
  <c r="AB28" i="15"/>
  <c r="Z28" i="15"/>
  <c r="D28" i="15"/>
  <c r="X28" i="15"/>
  <c r="P28" i="15"/>
  <c r="F28" i="15"/>
  <c r="B28" i="15"/>
  <c r="R28" i="15"/>
  <c r="N28" i="15"/>
  <c r="H100" i="12"/>
  <c r="F82" i="12"/>
  <c r="U96" i="15"/>
  <c r="C121" i="12"/>
  <c r="AK14" i="8"/>
  <c r="AG14" i="8"/>
  <c r="AM14" i="8"/>
  <c r="AI14" i="8"/>
  <c r="AO14" i="8"/>
  <c r="AC14" i="8"/>
  <c r="AM34" i="8"/>
  <c r="AC34" i="8"/>
  <c r="U122" i="15"/>
  <c r="U71" i="15"/>
  <c r="U75" i="15"/>
  <c r="U111" i="15"/>
  <c r="AB24" i="12"/>
  <c r="AC24" i="12" s="1"/>
  <c r="AB39" i="10"/>
  <c r="X38" i="14"/>
  <c r="S28" i="9"/>
  <c r="U28" i="9" s="1"/>
  <c r="AB39" i="12"/>
  <c r="AC39" i="12" s="1"/>
  <c r="U35" i="6"/>
  <c r="BG35" i="8"/>
  <c r="T49" i="15"/>
  <c r="BA60" i="6"/>
  <c r="BA59" i="6"/>
  <c r="AC57" i="8"/>
  <c r="O57" i="8"/>
  <c r="U17" i="6"/>
  <c r="U74" i="12"/>
  <c r="BG17" i="8"/>
  <c r="N138" i="6"/>
  <c r="Z82" i="6" l="1"/>
  <c r="Y82" i="6" s="1"/>
  <c r="S138" i="6"/>
  <c r="BN28" i="6"/>
  <c r="AO28" i="6"/>
  <c r="AC28" i="6"/>
  <c r="T25" i="15"/>
  <c r="Z28" i="6"/>
  <c r="BN75" i="6"/>
  <c r="BG72" i="8"/>
  <c r="BJ72" i="8" s="1"/>
  <c r="BH69" i="15"/>
  <c r="K52" i="8"/>
  <c r="AY46" i="15"/>
  <c r="BQ55" i="6"/>
  <c r="BR55" i="6" s="1"/>
  <c r="BN49" i="6"/>
  <c r="AC49" i="6"/>
  <c r="T40" i="15"/>
  <c r="BN43" i="6"/>
  <c r="AC43" i="6"/>
  <c r="G6" i="15"/>
  <c r="C62" i="15" s="1"/>
  <c r="B62" i="15" s="1"/>
  <c r="BG53" i="8"/>
  <c r="BN34" i="6"/>
  <c r="T31" i="15"/>
  <c r="Z34" i="6"/>
  <c r="AF34" i="6"/>
  <c r="U55" i="6"/>
  <c r="BK55" i="6" s="1"/>
  <c r="BH46" i="15"/>
  <c r="BG52" i="8"/>
  <c r="C55" i="6"/>
  <c r="O55" i="6"/>
  <c r="AQ46" i="15"/>
  <c r="AS46" i="15"/>
  <c r="C56" i="6"/>
  <c r="U74" i="15"/>
  <c r="Z16" i="6"/>
  <c r="Y18" i="6" s="1"/>
  <c r="D119" i="12"/>
  <c r="D120" i="12"/>
  <c r="D117" i="12"/>
  <c r="D121" i="12"/>
  <c r="D118" i="12"/>
  <c r="D115" i="12"/>
  <c r="D116" i="12"/>
  <c r="G104" i="12"/>
  <c r="I100" i="12"/>
  <c r="AQ14" i="6"/>
  <c r="AC14" i="6" s="1"/>
  <c r="H26" i="14"/>
  <c r="B28" i="14"/>
  <c r="C26" i="14"/>
  <c r="BG57" i="6"/>
  <c r="BB57" i="6" s="1"/>
  <c r="BX53" i="6"/>
  <c r="BY53" i="6" s="1"/>
  <c r="AQ53" i="6"/>
  <c r="AC53" i="6" s="1"/>
  <c r="BX48" i="6"/>
  <c r="BY48" i="6" s="1"/>
  <c r="BK40" i="6"/>
  <c r="T37" i="15"/>
  <c r="BN40" i="6"/>
  <c r="Z40" i="6"/>
  <c r="Y27" i="6"/>
  <c r="Y26" i="6"/>
  <c r="BK37" i="6"/>
  <c r="BN37" i="6"/>
  <c r="T34" i="15"/>
  <c r="G89" i="15"/>
  <c r="F89" i="15" s="1"/>
  <c r="G62" i="15"/>
  <c r="F62" i="15" s="1"/>
  <c r="K105" i="15"/>
  <c r="J105" i="15" s="1"/>
  <c r="K89" i="15"/>
  <c r="J89" i="15" s="1"/>
  <c r="E89" i="15"/>
  <c r="D89" i="15" s="1"/>
  <c r="AN93" i="6"/>
  <c r="AU6" i="6"/>
  <c r="E100" i="12"/>
  <c r="E110" i="12"/>
  <c r="AE6" i="15"/>
  <c r="U99" i="15"/>
  <c r="U109" i="15"/>
  <c r="U80" i="15"/>
  <c r="P43" i="15"/>
  <c r="N43" i="15"/>
  <c r="B43" i="15"/>
  <c r="J43" i="15"/>
  <c r="D43" i="15"/>
  <c r="L43" i="15"/>
  <c r="R43" i="15"/>
  <c r="F43" i="15"/>
  <c r="BK52" i="6"/>
  <c r="Y29" i="14"/>
  <c r="Y27" i="14"/>
  <c r="Y28" i="14"/>
  <c r="BZ90" i="6"/>
  <c r="BP90" i="6"/>
  <c r="BG59" i="6"/>
  <c r="AQ57" i="6"/>
  <c r="BX57" i="6"/>
  <c r="BY57" i="6" s="1"/>
  <c r="BA8" i="6"/>
  <c r="BA9" i="6"/>
  <c r="BG9" i="6" s="1"/>
  <c r="AI82" i="6"/>
  <c r="AH82" i="6" s="1"/>
  <c r="AF108" i="6"/>
  <c r="AE108" i="6" s="1"/>
  <c r="AF82" i="6"/>
  <c r="AE82" i="6" s="1"/>
  <c r="AI108" i="6"/>
  <c r="AO76" i="6"/>
  <c r="AN76" i="6" s="1"/>
  <c r="AL82" i="6"/>
  <c r="AL74" i="6"/>
  <c r="AK74" i="6" s="1"/>
  <c r="AI123" i="6"/>
  <c r="AH123" i="6" s="1"/>
  <c r="V6" i="15"/>
  <c r="M116" i="15" s="1"/>
  <c r="L116" i="15" s="1"/>
  <c r="AO74" i="6"/>
  <c r="AN74" i="6" s="1"/>
  <c r="AL108" i="6"/>
  <c r="AK108" i="6" s="1"/>
  <c r="AF123" i="6"/>
  <c r="AE123" i="6" s="1"/>
  <c r="AI72" i="6"/>
  <c r="AH72" i="6" s="1"/>
  <c r="AF72" i="6"/>
  <c r="AE72" i="6" s="1"/>
  <c r="AO82" i="6"/>
  <c r="AN82" i="6" s="1"/>
  <c r="AI114" i="6"/>
  <c r="AH114" i="6" s="1"/>
  <c r="AO72" i="6"/>
  <c r="AN72" i="6" s="1"/>
  <c r="AI74" i="6"/>
  <c r="AH74" i="6" s="1"/>
  <c r="AL72" i="6"/>
  <c r="AL123" i="6"/>
  <c r="AF114" i="6"/>
  <c r="AE114" i="6" s="1"/>
  <c r="AF74" i="6"/>
  <c r="AE74" i="6" s="1"/>
  <c r="AO77" i="6"/>
  <c r="AN77" i="6" s="1"/>
  <c r="AL114" i="6"/>
  <c r="AC72" i="6"/>
  <c r="AB72" i="6" s="1"/>
  <c r="AC82" i="6"/>
  <c r="AB82" i="6" s="1"/>
  <c r="AC114" i="6"/>
  <c r="AB114" i="6" s="1"/>
  <c r="AC123" i="6"/>
  <c r="AB123" i="6" s="1"/>
  <c r="BX123" i="6" s="1"/>
  <c r="BY123" i="6" s="1"/>
  <c r="AC108" i="6"/>
  <c r="AB108" i="6" s="1"/>
  <c r="AC74" i="6"/>
  <c r="BZ92" i="6"/>
  <c r="BP92" i="6"/>
  <c r="BG95" i="8"/>
  <c r="BJ95" i="8" s="1"/>
  <c r="BN98" i="6"/>
  <c r="BH92" i="15"/>
  <c r="BX20" i="6"/>
  <c r="BY20" i="6" s="1"/>
  <c r="Q59" i="6"/>
  <c r="Q60" i="6"/>
  <c r="AE32" i="12"/>
  <c r="AC32" i="12"/>
  <c r="O12" i="8"/>
  <c r="Q12" i="8"/>
  <c r="S12" i="8"/>
  <c r="AQ59" i="6"/>
  <c r="Y17" i="6"/>
  <c r="R13" i="15"/>
  <c r="D13" i="15"/>
  <c r="L13" i="15"/>
  <c r="N13" i="15"/>
  <c r="AB13" i="15"/>
  <c r="B13" i="15"/>
  <c r="F13" i="15"/>
  <c r="P13" i="15"/>
  <c r="X13" i="15"/>
  <c r="J13" i="15"/>
  <c r="Z13" i="15"/>
  <c r="BK58" i="6"/>
  <c r="D114" i="12"/>
  <c r="U97" i="15"/>
  <c r="AQ15" i="6"/>
  <c r="U77" i="12"/>
  <c r="U78" i="12" s="1"/>
  <c r="U79" i="12" s="1"/>
  <c r="U80" i="12" s="1"/>
  <c r="X49" i="12"/>
  <c r="BJ134" i="6" s="1"/>
  <c r="AC6" i="12"/>
  <c r="AB8" i="6"/>
  <c r="AB9" i="6"/>
  <c r="BG56" i="6"/>
  <c r="M22" i="9"/>
  <c r="R28" i="10"/>
  <c r="AQ54" i="6"/>
  <c r="BX54" i="6"/>
  <c r="BY54" i="6" s="1"/>
  <c r="AQ47" i="6"/>
  <c r="BX47" i="6"/>
  <c r="BY47" i="6" s="1"/>
  <c r="S29" i="9"/>
  <c r="AB48" i="10"/>
  <c r="X47" i="14"/>
  <c r="H56" i="12"/>
  <c r="BK7" i="6"/>
  <c r="U104" i="15"/>
  <c r="AU65" i="6"/>
  <c r="AU93" i="6"/>
  <c r="AU127" i="6"/>
  <c r="T22" i="15"/>
  <c r="Z37" i="6"/>
  <c r="Z72" i="6"/>
  <c r="Y72" i="6" s="1"/>
  <c r="Z114" i="6"/>
  <c r="Y114" i="6" s="1"/>
  <c r="U70" i="15"/>
  <c r="F106" i="12"/>
  <c r="F108" i="12"/>
  <c r="H106" i="12"/>
  <c r="H109" i="12"/>
  <c r="H108" i="12"/>
  <c r="F107" i="12"/>
  <c r="F109" i="12"/>
  <c r="BG134" i="6"/>
  <c r="BJ138" i="6" s="1"/>
  <c r="AB49" i="12"/>
  <c r="AC49" i="12" s="1"/>
  <c r="AM6" i="8"/>
  <c r="M11" i="9" s="1"/>
  <c r="AB11" i="6"/>
  <c r="BX11" i="6" s="1"/>
  <c r="BY11" i="6" s="1"/>
  <c r="AB12" i="6"/>
  <c r="X10" i="15"/>
  <c r="L10" i="15"/>
  <c r="D10" i="15"/>
  <c r="B10" i="15"/>
  <c r="AB10" i="15"/>
  <c r="N10" i="15"/>
  <c r="Z10" i="15"/>
  <c r="J10" i="15"/>
  <c r="F10" i="15"/>
  <c r="R10" i="15"/>
  <c r="P10" i="15"/>
  <c r="J46" i="15"/>
  <c r="N46" i="15"/>
  <c r="B46" i="15"/>
  <c r="D46" i="15"/>
  <c r="R46" i="15"/>
  <c r="L46" i="15"/>
  <c r="P46" i="15"/>
  <c r="F46" i="15"/>
  <c r="AT93" i="8"/>
  <c r="AC34" i="10"/>
  <c r="AC33" i="10"/>
  <c r="C33" i="10" s="1"/>
  <c r="R7" i="15"/>
  <c r="F7" i="15"/>
  <c r="J7" i="15"/>
  <c r="L7" i="15"/>
  <c r="P7" i="15"/>
  <c r="D7" i="15"/>
  <c r="AB7" i="15"/>
  <c r="B7" i="15"/>
  <c r="Z7" i="15"/>
  <c r="X7" i="15"/>
  <c r="N7" i="15"/>
  <c r="BG60" i="6"/>
  <c r="AQ48" i="6"/>
  <c r="AQ56" i="6"/>
  <c r="BX56" i="6"/>
  <c r="BY56" i="6" s="1"/>
  <c r="AQ21" i="6"/>
  <c r="AF21" i="6" s="1"/>
  <c r="U63" i="15"/>
  <c r="U58" i="15"/>
  <c r="U60" i="15"/>
  <c r="U57" i="15"/>
  <c r="U119" i="15"/>
  <c r="AU61" i="6"/>
  <c r="BN33" i="6"/>
  <c r="T30" i="15"/>
  <c r="Z33" i="6"/>
  <c r="M89" i="15"/>
  <c r="L89" i="15" s="1"/>
  <c r="M65" i="15"/>
  <c r="L65" i="15" s="1"/>
  <c r="BZ129" i="6"/>
  <c r="BP129" i="6"/>
  <c r="AQ20" i="6"/>
  <c r="B29" i="15"/>
  <c r="D29" i="15"/>
  <c r="AB29" i="15"/>
  <c r="Z29" i="15"/>
  <c r="P29" i="15"/>
  <c r="X29" i="15"/>
  <c r="N29" i="15"/>
  <c r="F29" i="15"/>
  <c r="R29" i="15"/>
  <c r="E84" i="12"/>
  <c r="D84" i="12"/>
  <c r="AB31" i="12"/>
  <c r="AC31" i="12" s="1"/>
  <c r="U15" i="6"/>
  <c r="L15" i="6"/>
  <c r="O15" i="6"/>
  <c r="C15" i="6"/>
  <c r="U12" i="6"/>
  <c r="BG12" i="8"/>
  <c r="O12" i="6"/>
  <c r="AQ60" i="6"/>
  <c r="Y29" i="6" l="1"/>
  <c r="Y30" i="6"/>
  <c r="AB29" i="6"/>
  <c r="AB30" i="6"/>
  <c r="D25" i="15"/>
  <c r="N25" i="15"/>
  <c r="R25" i="15"/>
  <c r="X25" i="15"/>
  <c r="P25" i="15"/>
  <c r="AB25" i="15"/>
  <c r="Z25" i="15"/>
  <c r="B25" i="15"/>
  <c r="F25" i="15"/>
  <c r="AN30" i="6"/>
  <c r="AN29" i="6"/>
  <c r="AN6" i="6" s="1"/>
  <c r="AE35" i="6"/>
  <c r="AE36" i="6"/>
  <c r="N31" i="15"/>
  <c r="B31" i="15"/>
  <c r="X31" i="15"/>
  <c r="AB31" i="15"/>
  <c r="Z31" i="15"/>
  <c r="D31" i="15"/>
  <c r="R31" i="15"/>
  <c r="F31" i="15"/>
  <c r="P31" i="15"/>
  <c r="AB45" i="6"/>
  <c r="AB44" i="6"/>
  <c r="N40" i="15"/>
  <c r="R40" i="15"/>
  <c r="B40" i="15"/>
  <c r="P40" i="15"/>
  <c r="D40" i="15"/>
  <c r="M105" i="15"/>
  <c r="L105" i="15" s="1"/>
  <c r="M62" i="15"/>
  <c r="L62" i="15" s="1"/>
  <c r="BX82" i="6"/>
  <c r="BY82" i="6" s="1"/>
  <c r="AD40" i="15"/>
  <c r="C89" i="15"/>
  <c r="B89" i="15" s="1"/>
  <c r="G105" i="15"/>
  <c r="F105" i="15" s="1"/>
  <c r="E105" i="15"/>
  <c r="D105" i="15" s="1"/>
  <c r="K62" i="15"/>
  <c r="J62" i="15" s="1"/>
  <c r="E62" i="15"/>
  <c r="D62" i="15" s="1"/>
  <c r="C105" i="15"/>
  <c r="B105" i="15" s="1"/>
  <c r="Y35" i="6"/>
  <c r="Y36" i="6"/>
  <c r="AB50" i="6"/>
  <c r="AB51" i="6"/>
  <c r="BZ75" i="6"/>
  <c r="BP75" i="6"/>
  <c r="F40" i="15"/>
  <c r="U82" i="12"/>
  <c r="U81" i="12"/>
  <c r="U83" i="12"/>
  <c r="BH9" i="6"/>
  <c r="T51" i="15"/>
  <c r="D88" i="12"/>
  <c r="D83" i="12"/>
  <c r="D87" i="12"/>
  <c r="N30" i="15"/>
  <c r="B30" i="15"/>
  <c r="AB30" i="15"/>
  <c r="D30" i="15"/>
  <c r="F30" i="15"/>
  <c r="R30" i="15"/>
  <c r="P30" i="15"/>
  <c r="X30" i="15"/>
  <c r="Z30" i="15"/>
  <c r="U83" i="15"/>
  <c r="U98" i="15"/>
  <c r="U73" i="15"/>
  <c r="U121" i="15"/>
  <c r="T47" i="15"/>
  <c r="BN48" i="6"/>
  <c r="BH60" i="6"/>
  <c r="AQ12" i="6"/>
  <c r="AC12" i="6" s="1"/>
  <c r="BX12" i="6"/>
  <c r="BY12" i="6" s="1"/>
  <c r="H110" i="12"/>
  <c r="F110" i="12"/>
  <c r="BX114" i="6"/>
  <c r="BY114" i="6" s="1"/>
  <c r="BX72" i="6"/>
  <c r="BY72" i="6" s="1"/>
  <c r="BN47" i="6"/>
  <c r="BN54" i="6"/>
  <c r="T45" i="15"/>
  <c r="T28" i="10"/>
  <c r="R24" i="10"/>
  <c r="BH56" i="6"/>
  <c r="BN56" i="6"/>
  <c r="AQ9" i="6"/>
  <c r="BN9" i="6" s="1"/>
  <c r="BX9" i="6"/>
  <c r="BY9" i="6" s="1"/>
  <c r="BB56" i="6"/>
  <c r="Z15" i="6"/>
  <c r="AQ18" i="6"/>
  <c r="Z18" i="6" s="1"/>
  <c r="BX18" i="6"/>
  <c r="BY18" i="6" s="1"/>
  <c r="T50" i="15"/>
  <c r="Q6" i="6"/>
  <c r="AY56" i="8"/>
  <c r="T59" i="6"/>
  <c r="BN59" i="6" s="1"/>
  <c r="BX59" i="6"/>
  <c r="BY59" i="6" s="1"/>
  <c r="BP98" i="6"/>
  <c r="BZ98" i="6"/>
  <c r="AK72" i="6"/>
  <c r="AQ72" i="6" s="1"/>
  <c r="AN71" i="6"/>
  <c r="O102" i="15"/>
  <c r="N102" i="15" s="1"/>
  <c r="C68" i="15"/>
  <c r="B68" i="15" s="1"/>
  <c r="K107" i="15"/>
  <c r="J107" i="15" s="1"/>
  <c r="AA62" i="15"/>
  <c r="Z62" i="15" s="1"/>
  <c r="S107" i="15"/>
  <c r="R107" i="15" s="1"/>
  <c r="Y116" i="15"/>
  <c r="X116" i="15" s="1"/>
  <c r="Y107" i="15"/>
  <c r="X107" i="15" s="1"/>
  <c r="AC62" i="15"/>
  <c r="AB62" i="15" s="1"/>
  <c r="E116" i="15"/>
  <c r="D116" i="15" s="1"/>
  <c r="AC68" i="15"/>
  <c r="AB68" i="15" s="1"/>
  <c r="AA65" i="15"/>
  <c r="Z65" i="15" s="1"/>
  <c r="E102" i="15"/>
  <c r="D102" i="15" s="1"/>
  <c r="E107" i="15"/>
  <c r="D107" i="15" s="1"/>
  <c r="E65" i="15"/>
  <c r="D65" i="15" s="1"/>
  <c r="Y105" i="15"/>
  <c r="X105" i="15" s="1"/>
  <c r="AA68" i="15"/>
  <c r="Z68" i="15" s="1"/>
  <c r="Y62" i="15"/>
  <c r="X62" i="15" s="1"/>
  <c r="Y89" i="15"/>
  <c r="X89" i="15" s="1"/>
  <c r="AC105" i="15"/>
  <c r="AB105" i="15" s="1"/>
  <c r="E68" i="15"/>
  <c r="D68" i="15" s="1"/>
  <c r="C116" i="15"/>
  <c r="B116" i="15" s="1"/>
  <c r="AA105" i="15"/>
  <c r="Z105" i="15" s="1"/>
  <c r="K68" i="15"/>
  <c r="J68" i="15" s="1"/>
  <c r="K102" i="15"/>
  <c r="J102" i="15" s="1"/>
  <c r="C65" i="15"/>
  <c r="B65" i="15" s="1"/>
  <c r="AC102" i="15"/>
  <c r="AB102" i="15" s="1"/>
  <c r="Y65" i="15"/>
  <c r="X65" i="15" s="1"/>
  <c r="AA102" i="15"/>
  <c r="Z102" i="15" s="1"/>
  <c r="C107" i="15"/>
  <c r="B107" i="15" s="1"/>
  <c r="S102" i="15"/>
  <c r="R102" i="15" s="1"/>
  <c r="AC65" i="15"/>
  <c r="AB65" i="15" s="1"/>
  <c r="Y68" i="15"/>
  <c r="X68" i="15" s="1"/>
  <c r="Q68" i="15"/>
  <c r="P68" i="15" s="1"/>
  <c r="Q107" i="15"/>
  <c r="P107" i="15" s="1"/>
  <c r="AC89" i="15"/>
  <c r="AB89" i="15" s="1"/>
  <c r="S89" i="15"/>
  <c r="R89" i="15" s="1"/>
  <c r="K116" i="15"/>
  <c r="J116" i="15" s="1"/>
  <c r="AA89" i="15"/>
  <c r="Z89" i="15" s="1"/>
  <c r="AC116" i="15"/>
  <c r="AB116" i="15" s="1"/>
  <c r="K65" i="15"/>
  <c r="J65" i="15" s="1"/>
  <c r="S68" i="15"/>
  <c r="R68" i="15" s="1"/>
  <c r="S116" i="15"/>
  <c r="R116" i="15" s="1"/>
  <c r="S65" i="15"/>
  <c r="R65" i="15" s="1"/>
  <c r="AC107" i="15"/>
  <c r="AB107" i="15" s="1"/>
  <c r="C102" i="15"/>
  <c r="B102" i="15" s="1"/>
  <c r="AA116" i="15"/>
  <c r="Z116" i="15" s="1"/>
  <c r="Y102" i="15"/>
  <c r="X102" i="15" s="1"/>
  <c r="AA107" i="15"/>
  <c r="Z107" i="15" s="1"/>
  <c r="Q65" i="15"/>
  <c r="P65" i="15" s="1"/>
  <c r="Q116" i="15"/>
  <c r="P116" i="15" s="1"/>
  <c r="Q102" i="15"/>
  <c r="P102" i="15" s="1"/>
  <c r="O65" i="15"/>
  <c r="N65" i="15" s="1"/>
  <c r="O116" i="15"/>
  <c r="N116" i="15" s="1"/>
  <c r="O68" i="15"/>
  <c r="N68" i="15" s="1"/>
  <c r="O107" i="15"/>
  <c r="N107" i="15" s="1"/>
  <c r="T48" i="15"/>
  <c r="V27" i="14"/>
  <c r="H28" i="14"/>
  <c r="C28" i="14"/>
  <c r="H29" i="14"/>
  <c r="C29" i="14"/>
  <c r="U114" i="15"/>
  <c r="G68" i="15"/>
  <c r="F68" i="15" s="1"/>
  <c r="G107" i="15"/>
  <c r="F107" i="15" s="1"/>
  <c r="X34" i="15"/>
  <c r="AB34" i="15"/>
  <c r="P34" i="15"/>
  <c r="R34" i="15"/>
  <c r="F34" i="15"/>
  <c r="N34" i="15"/>
  <c r="D34" i="15"/>
  <c r="B34" i="15"/>
  <c r="Z34" i="15"/>
  <c r="AQ27" i="6"/>
  <c r="Z27" i="6" s="1"/>
  <c r="Z48" i="6"/>
  <c r="BN53" i="6"/>
  <c r="T44" i="15"/>
  <c r="Z53" i="6"/>
  <c r="B29" i="14"/>
  <c r="D29" i="14" s="1"/>
  <c r="D28" i="14"/>
  <c r="J100" i="12"/>
  <c r="I104" i="12" s="1"/>
  <c r="H104" i="12"/>
  <c r="AC60" i="6"/>
  <c r="G78" i="12"/>
  <c r="G81" i="12"/>
  <c r="G82" i="12"/>
  <c r="G80" i="12"/>
  <c r="E83" i="12"/>
  <c r="T17" i="15"/>
  <c r="BN20" i="6"/>
  <c r="Z20" i="6"/>
  <c r="M68" i="15"/>
  <c r="L68" i="15" s="1"/>
  <c r="M107" i="15"/>
  <c r="L107" i="15" s="1"/>
  <c r="M102" i="15"/>
  <c r="L102" i="15" s="1"/>
  <c r="U61" i="15"/>
  <c r="T18" i="15"/>
  <c r="BN21" i="6"/>
  <c r="Z21" i="6"/>
  <c r="Z56" i="6"/>
  <c r="AC48" i="6"/>
  <c r="U113" i="15"/>
  <c r="Y39" i="6"/>
  <c r="Y38" i="6"/>
  <c r="J22" i="15"/>
  <c r="Z22" i="15"/>
  <c r="X22" i="15"/>
  <c r="AB22" i="15"/>
  <c r="L22" i="15"/>
  <c r="Z47" i="6"/>
  <c r="Z54" i="6"/>
  <c r="AQ8" i="6"/>
  <c r="BX8" i="6"/>
  <c r="BY8" i="6" s="1"/>
  <c r="BJ132" i="6"/>
  <c r="U138" i="6"/>
  <c r="AC15" i="6"/>
  <c r="AQ135" i="6"/>
  <c r="BB60" i="6"/>
  <c r="AQ17" i="6"/>
  <c r="Z17" i="6" s="1"/>
  <c r="BX17" i="6"/>
  <c r="BY17" i="6" s="1"/>
  <c r="AC59" i="6"/>
  <c r="AY57" i="8"/>
  <c r="T60" i="6"/>
  <c r="BX60" i="6"/>
  <c r="BY60" i="6" s="1"/>
  <c r="AQ11" i="6"/>
  <c r="AB74" i="6"/>
  <c r="AK114" i="6"/>
  <c r="AQ114" i="6" s="1"/>
  <c r="AK123" i="6"/>
  <c r="BQ74" i="6"/>
  <c r="BR74" i="6" s="1"/>
  <c r="BL82" i="6"/>
  <c r="AK82" i="6"/>
  <c r="AH108" i="6"/>
  <c r="AF20" i="6"/>
  <c r="Z57" i="6"/>
  <c r="AC47" i="6"/>
  <c r="BH59" i="6"/>
  <c r="N27" i="14"/>
  <c r="H27" i="14"/>
  <c r="R27" i="14"/>
  <c r="BG8" i="6"/>
  <c r="U78" i="15"/>
  <c r="G65" i="15"/>
  <c r="F65" i="15" s="1"/>
  <c r="G102" i="15"/>
  <c r="F102" i="15" s="1"/>
  <c r="G116" i="15"/>
  <c r="F116" i="15" s="1"/>
  <c r="AQ26" i="6"/>
  <c r="Z26" i="6" s="1"/>
  <c r="Y41" i="6"/>
  <c r="Y42" i="6"/>
  <c r="N37" i="15"/>
  <c r="Z37" i="15"/>
  <c r="B37" i="15"/>
  <c r="P37" i="15"/>
  <c r="R37" i="15"/>
  <c r="X37" i="15"/>
  <c r="D37" i="15"/>
  <c r="F37" i="15"/>
  <c r="AB37" i="15"/>
  <c r="BH57" i="6"/>
  <c r="BN57" i="6"/>
  <c r="AC54" i="6"/>
  <c r="Z14" i="6"/>
  <c r="BB59" i="6"/>
  <c r="AU71" i="6"/>
  <c r="AQ30" i="6" l="1"/>
  <c r="AC30" i="6" s="1"/>
  <c r="BX30" i="6"/>
  <c r="BY30" i="6" s="1"/>
  <c r="AQ29" i="6"/>
  <c r="BX29" i="6"/>
  <c r="BY29" i="6" s="1"/>
  <c r="BX51" i="6"/>
  <c r="BY51" i="6" s="1"/>
  <c r="AQ51" i="6"/>
  <c r="AC51" i="6" s="1"/>
  <c r="AQ36" i="6"/>
  <c r="BX36" i="6"/>
  <c r="BY36" i="6" s="1"/>
  <c r="AQ45" i="6"/>
  <c r="BX45" i="6"/>
  <c r="BY45" i="6" s="1"/>
  <c r="BK138" i="6"/>
  <c r="AB6" i="6"/>
  <c r="AQ50" i="6"/>
  <c r="BX50" i="6"/>
  <c r="BY50" i="6" s="1"/>
  <c r="BX35" i="6"/>
  <c r="BY35" i="6" s="1"/>
  <c r="AQ35" i="6"/>
  <c r="AQ44" i="6"/>
  <c r="BX44" i="6"/>
  <c r="BY44" i="6" s="1"/>
  <c r="BQ72" i="6"/>
  <c r="BR72" i="6" s="1"/>
  <c r="BN114" i="6"/>
  <c r="T107" i="15"/>
  <c r="BN72" i="6"/>
  <c r="T65" i="15"/>
  <c r="BX41" i="6"/>
  <c r="BY41" i="6" s="1"/>
  <c r="AQ41" i="6"/>
  <c r="T23" i="15"/>
  <c r="BH8" i="6"/>
  <c r="BN8" i="6"/>
  <c r="AQ123" i="6"/>
  <c r="AQ74" i="6"/>
  <c r="BX74" i="6"/>
  <c r="BY74" i="6" s="1"/>
  <c r="T11" i="15"/>
  <c r="BN11" i="6"/>
  <c r="Z11" i="6"/>
  <c r="U60" i="6"/>
  <c r="BG57" i="8"/>
  <c r="L60" i="6"/>
  <c r="O60" i="6"/>
  <c r="AQ38" i="6"/>
  <c r="Z38" i="6" s="1"/>
  <c r="BX38" i="6"/>
  <c r="BY38" i="6" s="1"/>
  <c r="Y6" i="6"/>
  <c r="AB18" i="15"/>
  <c r="X18" i="15"/>
  <c r="J18" i="15"/>
  <c r="P18" i="15"/>
  <c r="R18" i="15"/>
  <c r="N18" i="15"/>
  <c r="B18" i="15"/>
  <c r="Z18" i="15"/>
  <c r="F18" i="15"/>
  <c r="D18" i="15"/>
  <c r="L18" i="15"/>
  <c r="D17" i="15"/>
  <c r="B17" i="15"/>
  <c r="Z17" i="15"/>
  <c r="P17" i="15"/>
  <c r="AB17" i="15"/>
  <c r="X17" i="15"/>
  <c r="F17" i="15"/>
  <c r="N17" i="15"/>
  <c r="L17" i="15"/>
  <c r="R17" i="15"/>
  <c r="J17" i="15"/>
  <c r="T24" i="15"/>
  <c r="BX108" i="6"/>
  <c r="BY108" i="6" s="1"/>
  <c r="U59" i="6"/>
  <c r="BG56" i="8"/>
  <c r="L59" i="6"/>
  <c r="O59" i="6"/>
  <c r="BC6" i="8"/>
  <c r="AY6" i="8"/>
  <c r="BD6" i="15"/>
  <c r="R48" i="10"/>
  <c r="T24" i="10"/>
  <c r="B45" i="15"/>
  <c r="F45" i="15"/>
  <c r="N45" i="15"/>
  <c r="D45" i="15"/>
  <c r="L45" i="15"/>
  <c r="J45" i="15"/>
  <c r="P45" i="15"/>
  <c r="R45" i="15"/>
  <c r="BN60" i="6"/>
  <c r="B47" i="15"/>
  <c r="J47" i="15"/>
  <c r="L47" i="15"/>
  <c r="F47" i="15"/>
  <c r="R47" i="15"/>
  <c r="P47" i="15"/>
  <c r="D47" i="15"/>
  <c r="N47" i="15"/>
  <c r="AQ82" i="6"/>
  <c r="BN82" i="6" s="1"/>
  <c r="AQ42" i="6"/>
  <c r="Z42" i="6" s="1"/>
  <c r="BX42" i="6"/>
  <c r="BY42" i="6" s="1"/>
  <c r="U102" i="15"/>
  <c r="BL108" i="6"/>
  <c r="BL123" i="6"/>
  <c r="U116" i="15"/>
  <c r="BL114" i="6"/>
  <c r="U107" i="15"/>
  <c r="BL74" i="6"/>
  <c r="U68" i="15"/>
  <c r="T14" i="15"/>
  <c r="BN17" i="6"/>
  <c r="T8" i="15"/>
  <c r="Z8" i="6"/>
  <c r="AQ39" i="6"/>
  <c r="Z39" i="6" s="1"/>
  <c r="BX39" i="6"/>
  <c r="BY39" i="6" s="1"/>
  <c r="AC11" i="6"/>
  <c r="H78" i="12"/>
  <c r="H80" i="12"/>
  <c r="H81" i="12"/>
  <c r="D44" i="15"/>
  <c r="F44" i="15"/>
  <c r="L44" i="15"/>
  <c r="B44" i="15"/>
  <c r="J44" i="15"/>
  <c r="R44" i="15"/>
  <c r="N44" i="15"/>
  <c r="P44" i="15"/>
  <c r="N48" i="15"/>
  <c r="L48" i="15"/>
  <c r="B48" i="15"/>
  <c r="F48" i="15"/>
  <c r="D48" i="15"/>
  <c r="J48" i="15"/>
  <c r="P48" i="15"/>
  <c r="R48" i="15"/>
  <c r="BQ82" i="6"/>
  <c r="BR82" i="6" s="1"/>
  <c r="U65" i="15"/>
  <c r="BL72" i="6"/>
  <c r="AQ108" i="6"/>
  <c r="BN18" i="6"/>
  <c r="T15" i="15"/>
  <c r="T9" i="15"/>
  <c r="Z9" i="6"/>
  <c r="BN12" i="6"/>
  <c r="T12" i="15"/>
  <c r="Z12" i="6"/>
  <c r="AU131" i="6"/>
  <c r="AQ6" i="6" l="1"/>
  <c r="T6" i="15" s="1"/>
  <c r="AC29" i="6"/>
  <c r="T26" i="15"/>
  <c r="BN29" i="6"/>
  <c r="Z29" i="6"/>
  <c r="BN30" i="6"/>
  <c r="Z30" i="6"/>
  <c r="T27" i="15"/>
  <c r="BN35" i="6"/>
  <c r="Z35" i="6"/>
  <c r="T32" i="15"/>
  <c r="BN45" i="6"/>
  <c r="T42" i="15"/>
  <c r="Z36" i="6"/>
  <c r="BN36" i="6"/>
  <c r="T33" i="15"/>
  <c r="AF35" i="6"/>
  <c r="BN44" i="6"/>
  <c r="AC44" i="6"/>
  <c r="T41" i="15"/>
  <c r="Z50" i="6"/>
  <c r="BN50" i="6"/>
  <c r="AC50" i="6"/>
  <c r="AC45" i="6"/>
  <c r="Z51" i="6"/>
  <c r="BN51" i="6"/>
  <c r="AF36" i="6"/>
  <c r="J12" i="15"/>
  <c r="AB12" i="15"/>
  <c r="R12" i="15"/>
  <c r="B12" i="15"/>
  <c r="L12" i="15"/>
  <c r="D12" i="15"/>
  <c r="N12" i="15"/>
  <c r="F12" i="15"/>
  <c r="X12" i="15"/>
  <c r="Z12" i="15"/>
  <c r="P12" i="15"/>
  <c r="P9" i="15"/>
  <c r="B9" i="15"/>
  <c r="D9" i="15"/>
  <c r="L9" i="15"/>
  <c r="AB9" i="15"/>
  <c r="R9" i="15"/>
  <c r="N9" i="15"/>
  <c r="J9" i="15"/>
  <c r="Z9" i="15"/>
  <c r="X9" i="15"/>
  <c r="F9" i="15"/>
  <c r="F15" i="15"/>
  <c r="X15" i="15"/>
  <c r="AB15" i="15"/>
  <c r="D15" i="15"/>
  <c r="J15" i="15"/>
  <c r="N15" i="15"/>
  <c r="P15" i="15"/>
  <c r="L15" i="15"/>
  <c r="B15" i="15"/>
  <c r="R15" i="15"/>
  <c r="Z15" i="15"/>
  <c r="D14" i="15"/>
  <c r="F14" i="15"/>
  <c r="P14" i="15"/>
  <c r="N14" i="15"/>
  <c r="R14" i="15"/>
  <c r="AB14" i="15"/>
  <c r="X14" i="15"/>
  <c r="L14" i="15"/>
  <c r="Z14" i="15"/>
  <c r="B14" i="15"/>
  <c r="J14" i="15"/>
  <c r="BP82" i="6"/>
  <c r="BZ82" i="6"/>
  <c r="T68" i="15"/>
  <c r="BN74" i="6"/>
  <c r="T116" i="15"/>
  <c r="BN123" i="6"/>
  <c r="T38" i="15"/>
  <c r="BN41" i="6"/>
  <c r="AF41" i="6"/>
  <c r="BP72" i="6"/>
  <c r="BZ72" i="6"/>
  <c r="BN108" i="6"/>
  <c r="T102" i="15"/>
  <c r="H82" i="12"/>
  <c r="H83" i="12"/>
  <c r="BN39" i="6"/>
  <c r="T36" i="15"/>
  <c r="B8" i="15"/>
  <c r="B6" i="15" s="1"/>
  <c r="P8" i="15"/>
  <c r="P6" i="15" s="1"/>
  <c r="N8" i="15"/>
  <c r="N6" i="15" s="1"/>
  <c r="D8" i="15"/>
  <c r="D6" i="15" s="1"/>
  <c r="F8" i="15"/>
  <c r="F6" i="15" s="1"/>
  <c r="L8" i="15"/>
  <c r="L6" i="15" s="1"/>
  <c r="J8" i="15"/>
  <c r="J6" i="15" s="1"/>
  <c r="X8" i="15"/>
  <c r="X6" i="15" s="1"/>
  <c r="R8" i="15"/>
  <c r="R6" i="15" s="1"/>
  <c r="AB8" i="15"/>
  <c r="AB6" i="15" s="1"/>
  <c r="Z8" i="15"/>
  <c r="Z6" i="15" s="1"/>
  <c r="AF42" i="6"/>
  <c r="T39" i="15"/>
  <c r="BN42" i="6"/>
  <c r="AB24" i="15"/>
  <c r="J24" i="15"/>
  <c r="L24" i="15"/>
  <c r="Z24" i="15"/>
  <c r="X24" i="15"/>
  <c r="T35" i="15"/>
  <c r="BN38" i="6"/>
  <c r="L11" i="15"/>
  <c r="D11" i="15"/>
  <c r="J11" i="15"/>
  <c r="R11" i="15"/>
  <c r="AB11" i="15"/>
  <c r="B11" i="15"/>
  <c r="N11" i="15"/>
  <c r="P11" i="15"/>
  <c r="Z11" i="15"/>
  <c r="X11" i="15"/>
  <c r="F11" i="15"/>
  <c r="J23" i="15"/>
  <c r="AB23" i="15"/>
  <c r="X23" i="15"/>
  <c r="Z23" i="15"/>
  <c r="L23" i="15"/>
  <c r="Z41" i="6"/>
  <c r="BP114" i="6"/>
  <c r="BZ114" i="6"/>
  <c r="AU132" i="6"/>
  <c r="R52" i="12"/>
  <c r="R54" i="12" s="1"/>
  <c r="D26" i="15" l="1"/>
  <c r="F26" i="15"/>
  <c r="P26" i="15"/>
  <c r="Z26" i="15"/>
  <c r="N26" i="15"/>
  <c r="R26" i="15"/>
  <c r="AB26" i="15"/>
  <c r="B26" i="15"/>
  <c r="X26" i="15"/>
  <c r="Z27" i="15"/>
  <c r="P27" i="15"/>
  <c r="B27" i="15"/>
  <c r="AB27" i="15"/>
  <c r="X27" i="15"/>
  <c r="F27" i="15"/>
  <c r="R27" i="15"/>
  <c r="D27" i="15"/>
  <c r="N27" i="15"/>
  <c r="F41" i="15"/>
  <c r="B41" i="15"/>
  <c r="N41" i="15"/>
  <c r="P41" i="15"/>
  <c r="D41" i="15"/>
  <c r="R41" i="15"/>
  <c r="AD41" i="15"/>
  <c r="X33" i="15"/>
  <c r="Z33" i="15"/>
  <c r="R33" i="15"/>
  <c r="F33" i="15"/>
  <c r="P33" i="15"/>
  <c r="D33" i="15"/>
  <c r="AB33" i="15"/>
  <c r="N33" i="15"/>
  <c r="B33" i="15"/>
  <c r="N42" i="15"/>
  <c r="F42" i="15"/>
  <c r="AD42" i="15"/>
  <c r="D42" i="15"/>
  <c r="B42" i="15"/>
  <c r="P42" i="15"/>
  <c r="R42" i="15"/>
  <c r="AB32" i="15"/>
  <c r="D32" i="15"/>
  <c r="N32" i="15"/>
  <c r="F32" i="15"/>
  <c r="R32" i="15"/>
  <c r="X32" i="15"/>
  <c r="B32" i="15"/>
  <c r="P32" i="15"/>
  <c r="Z32" i="15"/>
  <c r="Z35" i="15"/>
  <c r="D35" i="15"/>
  <c r="F35" i="15"/>
  <c r="B35" i="15"/>
  <c r="R35" i="15"/>
  <c r="N35" i="15"/>
  <c r="X35" i="15"/>
  <c r="P35" i="15"/>
  <c r="AB35" i="15"/>
  <c r="F39" i="15"/>
  <c r="Z39" i="15"/>
  <c r="B39" i="15"/>
  <c r="AB39" i="15"/>
  <c r="X39" i="15"/>
  <c r="N39" i="15"/>
  <c r="R39" i="15"/>
  <c r="D39" i="15"/>
  <c r="P39" i="15"/>
  <c r="I83" i="12"/>
  <c r="I79" i="12"/>
  <c r="I78" i="12"/>
  <c r="BZ123" i="6"/>
  <c r="BP123" i="6"/>
  <c r="BP74" i="6"/>
  <c r="BZ74" i="6"/>
  <c r="I80" i="12"/>
  <c r="P36" i="15"/>
  <c r="D36" i="15"/>
  <c r="Z36" i="15"/>
  <c r="N36" i="15"/>
  <c r="AB36" i="15"/>
  <c r="F36" i="15"/>
  <c r="R36" i="15"/>
  <c r="X36" i="15"/>
  <c r="B36" i="15"/>
  <c r="I82" i="12"/>
  <c r="I81" i="12"/>
  <c r="BP108" i="6"/>
  <c r="BZ108" i="6"/>
  <c r="P38" i="15"/>
  <c r="Z38" i="15"/>
  <c r="D38" i="15"/>
  <c r="AB38" i="15"/>
  <c r="F38" i="15"/>
  <c r="B38" i="15"/>
  <c r="N38" i="15"/>
  <c r="R38" i="15"/>
  <c r="X38" i="15"/>
  <c r="AD6" i="15" l="1"/>
  <c r="AD55" i="15"/>
  <c r="AD123" i="15" l="1"/>
  <c r="K23" i="6" l="1"/>
  <c r="U23" i="8" s="1"/>
  <c r="K24" i="6"/>
  <c r="W22" i="8"/>
  <c r="P22" i="8" s="1"/>
  <c r="M6" i="6"/>
  <c r="W6" i="8" l="1"/>
  <c r="P6" i="8"/>
  <c r="Q23" i="8"/>
  <c r="S23" i="8"/>
  <c r="O23" i="8"/>
  <c r="U24" i="8"/>
  <c r="O24" i="8" l="1"/>
  <c r="Q24" i="8"/>
  <c r="S24" i="8"/>
  <c r="AW22" i="6"/>
  <c r="AW6" i="6" s="1"/>
  <c r="BD22" i="6"/>
  <c r="BE16" i="6" s="1"/>
  <c r="E22" i="6"/>
  <c r="E6" i="6"/>
  <c r="AW6" i="15" s="1"/>
  <c r="BE22" i="6"/>
  <c r="BD24" i="6" s="1"/>
  <c r="AV22" i="6"/>
  <c r="AV6" i="6" s="1"/>
  <c r="N22" i="6"/>
  <c r="AQ22" i="8" s="1"/>
  <c r="P25" i="6"/>
  <c r="AS25" i="8" s="1"/>
  <c r="K22" i="6"/>
  <c r="BL6" i="6"/>
  <c r="L76" i="6" s="1"/>
  <c r="BC22" i="6"/>
  <c r="BA22" i="6" s="1"/>
  <c r="D22" i="6"/>
  <c r="AH25" i="8" l="1"/>
  <c r="V73" i="8"/>
  <c r="K76" i="6"/>
  <c r="U73" i="8" s="1"/>
  <c r="I22" i="6"/>
  <c r="B24" i="6"/>
  <c r="B23" i="6"/>
  <c r="B22" i="6"/>
  <c r="BP22" i="6"/>
  <c r="H22" i="8"/>
  <c r="C22" i="8" s="1"/>
  <c r="BI22" i="6"/>
  <c r="BJ6" i="8"/>
  <c r="K6" i="6"/>
  <c r="U6" i="8" s="1"/>
  <c r="N25" i="6"/>
  <c r="N24" i="6"/>
  <c r="N23" i="6"/>
  <c r="P6" i="6"/>
  <c r="AS22" i="8"/>
  <c r="AO22" i="8" s="1"/>
  <c r="Z126" i="6"/>
  <c r="Y126" i="6" s="1"/>
  <c r="L77" i="6"/>
  <c r="L117" i="6"/>
  <c r="BE117" i="6"/>
  <c r="BD117" i="6" s="1"/>
  <c r="L94" i="6"/>
  <c r="L110" i="6"/>
  <c r="BE106" i="6"/>
  <c r="BD106" i="6" s="1"/>
  <c r="L85" i="6"/>
  <c r="AQ138" i="6"/>
  <c r="AX81" i="6"/>
  <c r="AW81" i="6" s="1"/>
  <c r="AX120" i="6"/>
  <c r="AW120" i="6" s="1"/>
  <c r="AC78" i="6"/>
  <c r="AB78" i="6" s="1"/>
  <c r="AC87" i="6"/>
  <c r="AB87" i="6" s="1"/>
  <c r="AC85" i="6"/>
  <c r="AB85" i="6" s="1"/>
  <c r="AL101" i="6"/>
  <c r="AK101" i="6" s="1"/>
  <c r="AL106" i="6"/>
  <c r="AK106" i="6" s="1"/>
  <c r="AL77" i="6"/>
  <c r="AK77" i="6" s="1"/>
  <c r="AL109" i="6"/>
  <c r="AK109" i="6" s="1"/>
  <c r="AL81" i="6"/>
  <c r="AK81" i="6" s="1"/>
  <c r="AL120" i="6"/>
  <c r="AK120" i="6" s="1"/>
  <c r="BE112" i="6"/>
  <c r="BD112" i="6" s="1"/>
  <c r="AI121" i="6"/>
  <c r="AH121" i="6" s="1"/>
  <c r="AX86" i="6"/>
  <c r="AW86" i="6" s="1"/>
  <c r="BE63" i="6"/>
  <c r="BD63" i="6" s="1"/>
  <c r="AI120" i="6"/>
  <c r="AH120" i="6" s="1"/>
  <c r="AI88" i="6"/>
  <c r="AH88" i="6" s="1"/>
  <c r="AC109" i="6"/>
  <c r="AB109" i="6" s="1"/>
  <c r="AC102" i="6"/>
  <c r="AB102" i="6" s="1"/>
  <c r="AC63" i="6"/>
  <c r="AB63" i="6" s="1"/>
  <c r="AC69" i="6"/>
  <c r="AB69" i="6" s="1"/>
  <c r="AF64" i="6"/>
  <c r="AE64" i="6" s="1"/>
  <c r="AX88" i="6"/>
  <c r="AW88" i="6" s="1"/>
  <c r="AX110" i="6"/>
  <c r="AW110" i="6" s="1"/>
  <c r="AC120" i="6"/>
  <c r="AB120" i="6" s="1"/>
  <c r="AC89" i="6"/>
  <c r="AB89" i="6" s="1"/>
  <c r="AC121" i="6"/>
  <c r="AB121" i="6" s="1"/>
  <c r="AL103" i="6"/>
  <c r="AK103" i="6" s="1"/>
  <c r="AL80" i="6"/>
  <c r="AK80" i="6" s="1"/>
  <c r="AL84" i="6"/>
  <c r="AK84" i="6" s="1"/>
  <c r="AL121" i="6"/>
  <c r="AK121" i="6" s="1"/>
  <c r="AX79" i="6"/>
  <c r="AW79" i="6" s="1"/>
  <c r="AI109" i="6"/>
  <c r="AH109" i="6" s="1"/>
  <c r="AO69" i="6"/>
  <c r="AN69" i="6" s="1"/>
  <c r="AI119" i="6"/>
  <c r="AH119" i="6" s="1"/>
  <c r="AL86" i="6"/>
  <c r="AK86" i="6" s="1"/>
  <c r="AI69" i="6"/>
  <c r="AH69" i="6" s="1"/>
  <c r="BE119" i="6"/>
  <c r="BD119" i="6" s="1"/>
  <c r="AO63" i="6"/>
  <c r="AN63" i="6" s="1"/>
  <c r="AI64" i="6"/>
  <c r="AH64" i="6" s="1"/>
  <c r="AI85" i="6"/>
  <c r="AH85" i="6" s="1"/>
  <c r="AI105" i="6"/>
  <c r="AH105" i="6" s="1"/>
  <c r="AI78" i="6"/>
  <c r="AH78" i="6" s="1"/>
  <c r="AX121" i="6"/>
  <c r="AW121" i="6" s="1"/>
  <c r="AX78" i="6"/>
  <c r="AW78" i="6" s="1"/>
  <c r="AX130" i="6"/>
  <c r="AW130" i="6" s="1"/>
  <c r="AX64" i="6"/>
  <c r="AW64" i="6" s="1"/>
  <c r="AW61" i="6" s="1"/>
  <c r="AO64" i="6"/>
  <c r="AN64" i="6" s="1"/>
  <c r="BE101" i="6"/>
  <c r="BD101" i="6" s="1"/>
  <c r="AI77" i="6"/>
  <c r="AH77" i="6" s="1"/>
  <c r="AI110" i="6"/>
  <c r="AH110" i="6" s="1"/>
  <c r="AI106" i="6"/>
  <c r="AH106" i="6" s="1"/>
  <c r="AI104" i="6"/>
  <c r="AH104" i="6" s="1"/>
  <c r="AI118" i="6"/>
  <c r="AH118" i="6" s="1"/>
  <c r="AI86" i="6"/>
  <c r="AH86" i="6" s="1"/>
  <c r="AI63" i="6"/>
  <c r="AH63" i="6" s="1"/>
  <c r="AI87" i="6"/>
  <c r="AH87" i="6" s="1"/>
  <c r="AX84" i="6"/>
  <c r="AW84" i="6" s="1"/>
  <c r="AX89" i="6"/>
  <c r="AW89" i="6" s="1"/>
  <c r="AX109" i="6"/>
  <c r="AW109" i="6" s="1"/>
  <c r="AX101" i="6"/>
  <c r="AW101" i="6" s="1"/>
  <c r="AX118" i="6"/>
  <c r="AW118" i="6" s="1"/>
  <c r="AX87" i="6"/>
  <c r="AW87" i="6" s="1"/>
  <c r="BE81" i="6"/>
  <c r="BD81" i="6" s="1"/>
  <c r="AX69" i="6"/>
  <c r="AW69" i="6" s="1"/>
  <c r="AO67" i="6"/>
  <c r="AN67" i="6" s="1"/>
  <c r="AI62" i="6"/>
  <c r="AH62" i="6" s="1"/>
  <c r="AH61" i="6" s="1"/>
  <c r="R104" i="6"/>
  <c r="R121" i="6"/>
  <c r="AX77" i="6"/>
  <c r="AW77" i="6" s="1"/>
  <c r="AX91" i="6"/>
  <c r="AW91" i="6" s="1"/>
  <c r="AL104" i="6"/>
  <c r="AK104" i="6" s="1"/>
  <c r="BE85" i="6"/>
  <c r="BD85" i="6" s="1"/>
  <c r="AI117" i="6"/>
  <c r="AH117" i="6" s="1"/>
  <c r="AI91" i="6"/>
  <c r="AH91" i="6" s="1"/>
  <c r="AX106" i="6"/>
  <c r="AW106" i="6" s="1"/>
  <c r="AX104" i="6"/>
  <c r="AW104" i="6" s="1"/>
  <c r="AX62" i="6"/>
  <c r="AW62" i="6" s="1"/>
  <c r="AI79" i="6"/>
  <c r="AH79" i="6" s="1"/>
  <c r="AX63" i="6"/>
  <c r="AW63" i="6" s="1"/>
  <c r="AC88" i="6"/>
  <c r="AB88" i="6" s="1"/>
  <c r="AC118" i="6"/>
  <c r="AB118" i="6" s="1"/>
  <c r="AC64" i="6"/>
  <c r="AB64" i="6" s="1"/>
  <c r="AC67" i="6"/>
  <c r="AB67" i="6" s="1"/>
  <c r="AF87" i="6"/>
  <c r="AE87" i="6" s="1"/>
  <c r="AF104" i="6"/>
  <c r="AE104" i="6" s="1"/>
  <c r="AF81" i="6"/>
  <c r="AE81" i="6" s="1"/>
  <c r="AF106" i="6"/>
  <c r="AE106" i="6" s="1"/>
  <c r="AF117" i="6"/>
  <c r="AE117" i="6" s="1"/>
  <c r="AF102" i="6"/>
  <c r="AE102" i="6" s="1"/>
  <c r="AF105" i="6"/>
  <c r="AE105" i="6" s="1"/>
  <c r="AF121" i="6"/>
  <c r="AE121" i="6" s="1"/>
  <c r="AF77" i="6"/>
  <c r="AE77" i="6" s="1"/>
  <c r="AF85" i="6"/>
  <c r="AE85" i="6" s="1"/>
  <c r="AF120" i="6"/>
  <c r="AE120" i="6" s="1"/>
  <c r="AF84" i="6"/>
  <c r="AE84" i="6" s="1"/>
  <c r="AF78" i="6"/>
  <c r="AE78" i="6" s="1"/>
  <c r="AF110" i="6"/>
  <c r="AE110" i="6" s="1"/>
  <c r="AO66" i="6"/>
  <c r="AN66" i="6" s="1"/>
  <c r="AN65" i="6" s="1"/>
  <c r="BE84" i="6"/>
  <c r="BD84" i="6" s="1"/>
  <c r="AI84" i="6"/>
  <c r="AH84" i="6" s="1"/>
  <c r="R101" i="6"/>
  <c r="R102" i="6"/>
  <c r="R81" i="6"/>
  <c r="R119" i="6"/>
  <c r="R69" i="6"/>
  <c r="R109" i="6"/>
  <c r="R89" i="6"/>
  <c r="AI80" i="6"/>
  <c r="AH80" i="6" s="1"/>
  <c r="BE69" i="6"/>
  <c r="BD69" i="6" s="1"/>
  <c r="AI103" i="6"/>
  <c r="AH103" i="6" s="1"/>
  <c r="AX102" i="6"/>
  <c r="AW102" i="6" s="1"/>
  <c r="AC105" i="6"/>
  <c r="AB105" i="6" s="1"/>
  <c r="AX85" i="6"/>
  <c r="AW85" i="6" s="1"/>
  <c r="AC79" i="6"/>
  <c r="AB79" i="6" s="1"/>
  <c r="AC91" i="6"/>
  <c r="AB91" i="6" s="1"/>
  <c r="AF119" i="6"/>
  <c r="AE119" i="6" s="1"/>
  <c r="AF91" i="6"/>
  <c r="AE91" i="6" s="1"/>
  <c r="AF63" i="6"/>
  <c r="AE63" i="6" s="1"/>
  <c r="AF89" i="6"/>
  <c r="AE89" i="6" s="1"/>
  <c r="AF118" i="6"/>
  <c r="AE118" i="6" s="1"/>
  <c r="AF130" i="6"/>
  <c r="AE130" i="6" s="1"/>
  <c r="AF88" i="6"/>
  <c r="AE88" i="6" s="1"/>
  <c r="Z130" i="6"/>
  <c r="Y130" i="6" s="1"/>
  <c r="AX76" i="6"/>
  <c r="AW76" i="6" s="1"/>
  <c r="AX103" i="6"/>
  <c r="AW103" i="6" s="1"/>
  <c r="AI112" i="6"/>
  <c r="AH112" i="6" s="1"/>
  <c r="R76" i="6"/>
  <c r="AX105" i="6"/>
  <c r="AW105" i="6" s="1"/>
  <c r="AX80" i="6"/>
  <c r="AW80" i="6" s="1"/>
  <c r="AL117" i="6"/>
  <c r="AK117" i="6" s="1"/>
  <c r="AX67" i="6"/>
  <c r="AW67" i="6" s="1"/>
  <c r="AX117" i="6"/>
  <c r="AW117" i="6" s="1"/>
  <c r="AC110" i="6"/>
  <c r="AB110" i="6" s="1"/>
  <c r="AF80" i="6"/>
  <c r="AE80" i="6" s="1"/>
  <c r="AF101" i="6"/>
  <c r="AE101" i="6" s="1"/>
  <c r="AF79" i="6"/>
  <c r="AE79" i="6" s="1"/>
  <c r="Z80" i="6"/>
  <c r="Y80" i="6" s="1"/>
  <c r="AI101" i="6"/>
  <c r="AH101" i="6" s="1"/>
  <c r="R79" i="6"/>
  <c r="AI102" i="6"/>
  <c r="AH102" i="6" s="1"/>
  <c r="AI89" i="6"/>
  <c r="AH89" i="6" s="1"/>
  <c r="AX66" i="6"/>
  <c r="AW66" i="6" s="1"/>
  <c r="AW65" i="6" s="1"/>
  <c r="BE67" i="6"/>
  <c r="BD67" i="6" s="1"/>
  <c r="R80" i="6"/>
  <c r="R130" i="6"/>
  <c r="R105" i="6"/>
  <c r="R86" i="6"/>
  <c r="R112" i="6"/>
  <c r="R77" i="6"/>
  <c r="R103" i="6"/>
  <c r="R85" i="6"/>
  <c r="R78" i="6"/>
  <c r="AC86" i="6"/>
  <c r="AB86" i="6" s="1"/>
  <c r="AC112" i="6"/>
  <c r="AB112" i="6" s="1"/>
  <c r="R67" i="6"/>
  <c r="R106" i="6"/>
  <c r="R64" i="6"/>
  <c r="AC119" i="6"/>
  <c r="AB119" i="6" s="1"/>
  <c r="AC80" i="6"/>
  <c r="AB80" i="6" s="1"/>
  <c r="AC106" i="6"/>
  <c r="AB106" i="6" s="1"/>
  <c r="AL78" i="6"/>
  <c r="AK78" i="6" s="1"/>
  <c r="AL118" i="6"/>
  <c r="AK118" i="6" s="1"/>
  <c r="AL91" i="6"/>
  <c r="AK91" i="6" s="1"/>
  <c r="AL110" i="6"/>
  <c r="AK110" i="6" s="1"/>
  <c r="AF109" i="6"/>
  <c r="AE109" i="6" s="1"/>
  <c r="F79" i="6"/>
  <c r="AI67" i="6"/>
  <c r="AH67" i="6" s="1"/>
  <c r="BE102" i="6"/>
  <c r="BD102" i="6" s="1"/>
  <c r="BE91" i="6"/>
  <c r="BD91" i="6" s="1"/>
  <c r="BE109" i="6"/>
  <c r="BD109" i="6" s="1"/>
  <c r="R120" i="6"/>
  <c r="R88" i="6"/>
  <c r="R91" i="6"/>
  <c r="R84" i="6"/>
  <c r="R117" i="6"/>
  <c r="R118" i="6"/>
  <c r="F103" i="6"/>
  <c r="R87" i="6"/>
  <c r="R110" i="6"/>
  <c r="AC77" i="6"/>
  <c r="AB77" i="6" s="1"/>
  <c r="AC101" i="6"/>
  <c r="AB101" i="6" s="1"/>
  <c r="AC117" i="6"/>
  <c r="AB117" i="6" s="1"/>
  <c r="AL63" i="6"/>
  <c r="AK63" i="6" s="1"/>
  <c r="AL67" i="6"/>
  <c r="AK67" i="6" s="1"/>
  <c r="AL87" i="6"/>
  <c r="AK87" i="6" s="1"/>
  <c r="AF69" i="6"/>
  <c r="AE69" i="6" s="1"/>
  <c r="AC103" i="6"/>
  <c r="AB103" i="6" s="1"/>
  <c r="AC130" i="6"/>
  <c r="AB130" i="6" s="1"/>
  <c r="F67" i="6"/>
  <c r="F91" i="6"/>
  <c r="F106" i="6"/>
  <c r="R62" i="6"/>
  <c r="Z76" i="6"/>
  <c r="Y76" i="6" s="1"/>
  <c r="BE130" i="6"/>
  <c r="BD130" i="6" s="1"/>
  <c r="AO62" i="6"/>
  <c r="AN62" i="6" s="1"/>
  <c r="AN61" i="6" s="1"/>
  <c r="AC62" i="6"/>
  <c r="AB62" i="6" s="1"/>
  <c r="AC104" i="6"/>
  <c r="AB104" i="6" s="1"/>
  <c r="AC66" i="6"/>
  <c r="AB66" i="6" s="1"/>
  <c r="Z86" i="6"/>
  <c r="Y86" i="6" s="1"/>
  <c r="F78" i="6"/>
  <c r="Z104" i="6"/>
  <c r="Y104" i="6" s="1"/>
  <c r="AQ104" i="6" s="1"/>
  <c r="T97" i="15" s="1"/>
  <c r="F128" i="6"/>
  <c r="AF128" i="6"/>
  <c r="AE128" i="6" s="1"/>
  <c r="AE127" i="6" s="1"/>
  <c r="AL66" i="6"/>
  <c r="AK66" i="6" s="1"/>
  <c r="AK65" i="6" s="1"/>
  <c r="F89" i="6"/>
  <c r="Z78" i="6"/>
  <c r="Y78" i="6" s="1"/>
  <c r="AQ78" i="6" s="1"/>
  <c r="T72" i="15" s="1"/>
  <c r="F130" i="6"/>
  <c r="Z106" i="6"/>
  <c r="Y106" i="6" s="1"/>
  <c r="AQ106" i="6" s="1"/>
  <c r="T99" i="15" s="1"/>
  <c r="Z112" i="6"/>
  <c r="Y112" i="6" s="1"/>
  <c r="AL62" i="6"/>
  <c r="AK62" i="6" s="1"/>
  <c r="F105" i="6"/>
  <c r="Z67" i="6"/>
  <c r="Y67" i="6" s="1"/>
  <c r="AL76" i="6"/>
  <c r="AK76" i="6" s="1"/>
  <c r="AL126" i="6"/>
  <c r="AK126" i="6" s="1"/>
  <c r="AK124" i="6" s="1"/>
  <c r="F63" i="6"/>
  <c r="AX126" i="6"/>
  <c r="AW126" i="6" s="1"/>
  <c r="AW124" i="6" s="1"/>
  <c r="L89" i="6"/>
  <c r="L105" i="6"/>
  <c r="AI81" i="6"/>
  <c r="AH81" i="6" s="1"/>
  <c r="AF112" i="6"/>
  <c r="AE112" i="6" s="1"/>
  <c r="AF103" i="6"/>
  <c r="AE103" i="6" s="1"/>
  <c r="AL64" i="6"/>
  <c r="AK64" i="6" s="1"/>
  <c r="AL85" i="6"/>
  <c r="AK85" i="6" s="1"/>
  <c r="F102" i="6"/>
  <c r="F76" i="6"/>
  <c r="AL102" i="6"/>
  <c r="AK102" i="6" s="1"/>
  <c r="Z79" i="6"/>
  <c r="Y79" i="6" s="1"/>
  <c r="Z128" i="6"/>
  <c r="Y128" i="6" s="1"/>
  <c r="F110" i="6"/>
  <c r="R66" i="6"/>
  <c r="F86" i="6"/>
  <c r="R63" i="6"/>
  <c r="R128" i="6"/>
  <c r="F118" i="6"/>
  <c r="F64" i="6"/>
  <c r="AI130" i="6"/>
  <c r="AH130" i="6" s="1"/>
  <c r="AF67" i="6"/>
  <c r="AE67" i="6" s="1"/>
  <c r="AF86" i="6"/>
  <c r="AE86" i="6" s="1"/>
  <c r="BE89" i="6"/>
  <c r="BD89" i="6" s="1"/>
  <c r="AX128" i="6"/>
  <c r="AW128" i="6" s="1"/>
  <c r="AW127" i="6" s="1"/>
  <c r="BE128" i="6"/>
  <c r="BD128" i="6" s="1"/>
  <c r="BD127" i="6" s="1"/>
  <c r="AC84" i="6"/>
  <c r="AB84" i="6" s="1"/>
  <c r="AI128" i="6"/>
  <c r="AH128" i="6" s="1"/>
  <c r="F80" i="6"/>
  <c r="AL89" i="6"/>
  <c r="AK89" i="6" s="1"/>
  <c r="AL79" i="6"/>
  <c r="AK79" i="6" s="1"/>
  <c r="AL88" i="6"/>
  <c r="AK88" i="6" s="1"/>
  <c r="F121" i="6"/>
  <c r="F85" i="6"/>
  <c r="Z119" i="6"/>
  <c r="Y119" i="6" s="1"/>
  <c r="AQ119" i="6" s="1"/>
  <c r="Z87" i="6"/>
  <c r="Y87" i="6" s="1"/>
  <c r="AQ87" i="6" s="1"/>
  <c r="F81" i="6"/>
  <c r="Z110" i="6"/>
  <c r="Y110" i="6" s="1"/>
  <c r="AQ110" i="6" s="1"/>
  <c r="T104" i="15" s="1"/>
  <c r="AC128" i="6"/>
  <c r="AB128" i="6" s="1"/>
  <c r="AB127" i="6" s="1"/>
  <c r="F117" i="6"/>
  <c r="Z62" i="6"/>
  <c r="Y62" i="6" s="1"/>
  <c r="Z102" i="6"/>
  <c r="Y102" i="6" s="1"/>
  <c r="Z105" i="6"/>
  <c r="Y105" i="6" s="1"/>
  <c r="AQ105" i="6" s="1"/>
  <c r="T98" i="15" s="1"/>
  <c r="F87" i="6"/>
  <c r="AI76" i="6"/>
  <c r="AH76" i="6" s="1"/>
  <c r="AH71" i="6" s="1"/>
  <c r="F66" i="6"/>
  <c r="Z120" i="6"/>
  <c r="Y120" i="6" s="1"/>
  <c r="AQ120" i="6" s="1"/>
  <c r="T113" i="15" s="1"/>
  <c r="AC94" i="6"/>
  <c r="AB94" i="6" s="1"/>
  <c r="AL94" i="6"/>
  <c r="AK94" i="6" s="1"/>
  <c r="AK93" i="6" s="1"/>
  <c r="AI94" i="6"/>
  <c r="AH94" i="6" s="1"/>
  <c r="AH93" i="6" s="1"/>
  <c r="F62" i="6"/>
  <c r="AX94" i="6"/>
  <c r="AW94" i="6" s="1"/>
  <c r="L120" i="6"/>
  <c r="AL130" i="6"/>
  <c r="AK130" i="6" s="1"/>
  <c r="Z64" i="6"/>
  <c r="Y64" i="6" s="1"/>
  <c r="AQ64" i="6" s="1"/>
  <c r="T58" i="15" s="1"/>
  <c r="Z88" i="6"/>
  <c r="Y88" i="6" s="1"/>
  <c r="AI66" i="6"/>
  <c r="AH66" i="6" s="1"/>
  <c r="AH65" i="6" s="1"/>
  <c r="AL105" i="6"/>
  <c r="AK105" i="6" s="1"/>
  <c r="AC81" i="6"/>
  <c r="AB81" i="6" s="1"/>
  <c r="AF62" i="6"/>
  <c r="AE62" i="6" s="1"/>
  <c r="AE61" i="6" s="1"/>
  <c r="F77" i="6"/>
  <c r="Z81" i="6"/>
  <c r="Y81" i="6" s="1"/>
  <c r="AF66" i="6"/>
  <c r="AE66" i="6" s="1"/>
  <c r="AE65" i="6" s="1"/>
  <c r="Z91" i="6"/>
  <c r="Y91" i="6" s="1"/>
  <c r="AQ91" i="6" s="1"/>
  <c r="T85" i="15" s="1"/>
  <c r="Z84" i="6"/>
  <c r="Y84" i="6" s="1"/>
  <c r="AQ84" i="6" s="1"/>
  <c r="T78" i="15" s="1"/>
  <c r="Z63" i="6"/>
  <c r="Y63" i="6" s="1"/>
  <c r="AQ63" i="6" s="1"/>
  <c r="T57" i="15" s="1"/>
  <c r="F109" i="6"/>
  <c r="AL128" i="6"/>
  <c r="AK128" i="6" s="1"/>
  <c r="Z66" i="6"/>
  <c r="Y66" i="6" s="1"/>
  <c r="Z103" i="6"/>
  <c r="Y103" i="6" s="1"/>
  <c r="AF126" i="6"/>
  <c r="AE126" i="6" s="1"/>
  <c r="AE124" i="6" s="1"/>
  <c r="AC126" i="6"/>
  <c r="AB126" i="6" s="1"/>
  <c r="AB124" i="6" s="1"/>
  <c r="L64" i="6"/>
  <c r="L91" i="6"/>
  <c r="L104" i="6"/>
  <c r="BE120" i="6"/>
  <c r="BD120" i="6" s="1"/>
  <c r="L78" i="6"/>
  <c r="Z109" i="6"/>
  <c r="Y109" i="6" s="1"/>
  <c r="AQ109" i="6" s="1"/>
  <c r="T103" i="15" s="1"/>
  <c r="Z118" i="6"/>
  <c r="Y118" i="6" s="1"/>
  <c r="AQ118" i="6" s="1"/>
  <c r="T112" i="15" s="1"/>
  <c r="Z77" i="6"/>
  <c r="Y77" i="6" s="1"/>
  <c r="AF94" i="6"/>
  <c r="AE94" i="6" s="1"/>
  <c r="AE93" i="6" s="1"/>
  <c r="L130" i="6"/>
  <c r="L102" i="6"/>
  <c r="BE86" i="6"/>
  <c r="BD86" i="6" s="1"/>
  <c r="BE118" i="6"/>
  <c r="BD118" i="6" s="1"/>
  <c r="BE105" i="6"/>
  <c r="BD105" i="6" s="1"/>
  <c r="L109" i="6"/>
  <c r="BE88" i="6"/>
  <c r="BD88" i="6" s="1"/>
  <c r="L103" i="6"/>
  <c r="BE78" i="6"/>
  <c r="BD78" i="6" s="1"/>
  <c r="BE110" i="6"/>
  <c r="BD110" i="6" s="1"/>
  <c r="L80" i="6"/>
  <c r="L121" i="6"/>
  <c r="L69" i="6"/>
  <c r="L101" i="6"/>
  <c r="L62" i="6"/>
  <c r="R94" i="6"/>
  <c r="F104" i="6"/>
  <c r="Z85" i="6"/>
  <c r="Y85" i="6" s="1"/>
  <c r="AQ85" i="6" s="1"/>
  <c r="T79" i="15" s="1"/>
  <c r="F120" i="6"/>
  <c r="Z69" i="6"/>
  <c r="Y69" i="6" s="1"/>
  <c r="AQ69" i="6" s="1"/>
  <c r="T63" i="15" s="1"/>
  <c r="F88" i="6"/>
  <c r="Z89" i="6"/>
  <c r="Y89" i="6" s="1"/>
  <c r="AQ89" i="6" s="1"/>
  <c r="T83" i="15" s="1"/>
  <c r="Z101" i="6"/>
  <c r="Y101" i="6" s="1"/>
  <c r="AQ101" i="6" s="1"/>
  <c r="F84" i="6"/>
  <c r="AF76" i="6"/>
  <c r="AE76" i="6" s="1"/>
  <c r="AE71" i="6" s="1"/>
  <c r="AC76" i="6"/>
  <c r="AB76" i="6" s="1"/>
  <c r="AB71" i="6" s="1"/>
  <c r="L67" i="6"/>
  <c r="BE64" i="6"/>
  <c r="BD64" i="6" s="1"/>
  <c r="BE104" i="6"/>
  <c r="BD104" i="6" s="1"/>
  <c r="L106" i="6"/>
  <c r="Z117" i="6"/>
  <c r="Y117" i="6" s="1"/>
  <c r="Z121" i="6"/>
  <c r="Y121" i="6" s="1"/>
  <c r="AQ121" i="6" s="1"/>
  <c r="T114" i="15" s="1"/>
  <c r="AI126" i="6"/>
  <c r="AH126" i="6" s="1"/>
  <c r="AH124" i="6" s="1"/>
  <c r="Z94" i="6"/>
  <c r="Y94" i="6" s="1"/>
  <c r="L119" i="6"/>
  <c r="L88" i="6"/>
  <c r="L86" i="6"/>
  <c r="L118" i="6"/>
  <c r="L84" i="6"/>
  <c r="BE121" i="6"/>
  <c r="BD121" i="6" s="1"/>
  <c r="L81" i="6"/>
  <c r="L63" i="6"/>
  <c r="BE66" i="6"/>
  <c r="BD66" i="6" s="1"/>
  <c r="L128" i="6"/>
  <c r="F94" i="6"/>
  <c r="R126" i="6"/>
  <c r="BE77" i="6"/>
  <c r="BD77" i="6" s="1"/>
  <c r="L79" i="6"/>
  <c r="U22" i="8"/>
  <c r="N26" i="6"/>
  <c r="N27" i="6"/>
  <c r="BP25" i="6"/>
  <c r="CA25" i="6" s="1"/>
  <c r="N6" i="6"/>
  <c r="AQ6" i="8" s="1"/>
  <c r="D6" i="6"/>
  <c r="F126" i="6"/>
  <c r="L126" i="6"/>
  <c r="BE94" i="6"/>
  <c r="BD94" i="6" s="1"/>
  <c r="AV19" i="15"/>
  <c r="AR19" i="15" s="1"/>
  <c r="BE126" i="6"/>
  <c r="BD126" i="6" s="1"/>
  <c r="J6" i="6"/>
  <c r="C66" i="6" s="1"/>
  <c r="BE62" i="6"/>
  <c r="BD62" i="6" s="1"/>
  <c r="BD61" i="6" s="1"/>
  <c r="L66" i="6"/>
  <c r="AG6" i="15"/>
  <c r="L87" i="6"/>
  <c r="BE76" i="6"/>
  <c r="BD76" i="6" s="1"/>
  <c r="BE80" i="6"/>
  <c r="BD80" i="6" s="1"/>
  <c r="L112" i="6"/>
  <c r="BE103" i="6"/>
  <c r="BD103" i="6" s="1"/>
  <c r="F101" i="6"/>
  <c r="BE87" i="6"/>
  <c r="BD87" i="6" s="1"/>
  <c r="BE79" i="6"/>
  <c r="BD79" i="6" s="1"/>
  <c r="AU22" i="6"/>
  <c r="BG22" i="6" s="1"/>
  <c r="BD23" i="6"/>
  <c r="I6" i="8"/>
  <c r="I22" i="8"/>
  <c r="AW19" i="15"/>
  <c r="AQ117" i="6" l="1"/>
  <c r="T111" i="15" s="1"/>
  <c r="AQ77" i="6"/>
  <c r="T71" i="15" s="1"/>
  <c r="AQ88" i="6"/>
  <c r="T82" i="15" s="1"/>
  <c r="AQ130" i="6"/>
  <c r="T122" i="15" s="1"/>
  <c r="Y127" i="6"/>
  <c r="AQ67" i="6"/>
  <c r="T61" i="15" s="1"/>
  <c r="AB65" i="6"/>
  <c r="AB61" i="6"/>
  <c r="AQ103" i="6"/>
  <c r="T96" i="15" s="1"/>
  <c r="AB93" i="6"/>
  <c r="AB131" i="6" s="1"/>
  <c r="BD6" i="6"/>
  <c r="BE17" i="6"/>
  <c r="C85" i="15"/>
  <c r="B85" i="15" s="1"/>
  <c r="S111" i="15"/>
  <c r="R111" i="15" s="1"/>
  <c r="E85" i="15"/>
  <c r="D85" i="15" s="1"/>
  <c r="K98" i="15"/>
  <c r="J98" i="15" s="1"/>
  <c r="S63" i="15"/>
  <c r="R63" i="15" s="1"/>
  <c r="E104" i="15"/>
  <c r="D104" i="15" s="1"/>
  <c r="E96" i="15"/>
  <c r="D96" i="15" s="1"/>
  <c r="K63" i="15"/>
  <c r="J63" i="15" s="1"/>
  <c r="K74" i="15"/>
  <c r="J74" i="15" s="1"/>
  <c r="S113" i="15"/>
  <c r="R113" i="15" s="1"/>
  <c r="E98" i="15"/>
  <c r="D98" i="15" s="1"/>
  <c r="Y80" i="15"/>
  <c r="X80" i="15" s="1"/>
  <c r="K57" i="15"/>
  <c r="J57" i="15" s="1"/>
  <c r="C74" i="15"/>
  <c r="B74" i="15" s="1"/>
  <c r="S105" i="15"/>
  <c r="R105" i="15" s="1"/>
  <c r="Y104" i="15"/>
  <c r="X104" i="15" s="1"/>
  <c r="Y74" i="15"/>
  <c r="X74" i="15" s="1"/>
  <c r="C75" i="15"/>
  <c r="B75" i="15" s="1"/>
  <c r="E83" i="15"/>
  <c r="D83" i="15" s="1"/>
  <c r="AA82" i="15"/>
  <c r="Z82" i="15" s="1"/>
  <c r="K104" i="15"/>
  <c r="J104" i="15" s="1"/>
  <c r="Q82" i="15"/>
  <c r="P82" i="15" s="1"/>
  <c r="Q119" i="15"/>
  <c r="P119" i="15" s="1"/>
  <c r="Q83" i="15"/>
  <c r="P83" i="15" s="1"/>
  <c r="E99" i="15"/>
  <c r="D99" i="15" s="1"/>
  <c r="S83" i="15"/>
  <c r="R83" i="15" s="1"/>
  <c r="AC58" i="15"/>
  <c r="AB58" i="15" s="1"/>
  <c r="AT70" i="15"/>
  <c r="AS70" i="15" s="1"/>
  <c r="E97" i="15"/>
  <c r="D97" i="15" s="1"/>
  <c r="AC57" i="15"/>
  <c r="AB57" i="15" s="1"/>
  <c r="AT113" i="15"/>
  <c r="AS113" i="15" s="1"/>
  <c r="C112" i="15"/>
  <c r="B112" i="15" s="1"/>
  <c r="AT112" i="15"/>
  <c r="AS112" i="15" s="1"/>
  <c r="AA99" i="15"/>
  <c r="Z99" i="15" s="1"/>
  <c r="S57" i="15"/>
  <c r="R57" i="15" s="1"/>
  <c r="Q103" i="15"/>
  <c r="P103" i="15" s="1"/>
  <c r="Y71" i="15"/>
  <c r="X71" i="15" s="1"/>
  <c r="AC79" i="15"/>
  <c r="AB79" i="15" s="1"/>
  <c r="AC71" i="15"/>
  <c r="AB71" i="15" s="1"/>
  <c r="S109" i="15"/>
  <c r="R109" i="15" s="1"/>
  <c r="S61" i="15"/>
  <c r="R61" i="15" s="1"/>
  <c r="C109" i="15"/>
  <c r="B109" i="15" s="1"/>
  <c r="Q72" i="15"/>
  <c r="P72" i="15" s="1"/>
  <c r="Y114" i="15"/>
  <c r="X114" i="15" s="1"/>
  <c r="C104" i="15"/>
  <c r="B104" i="15" s="1"/>
  <c r="AA79" i="15"/>
  <c r="Z79" i="15" s="1"/>
  <c r="AC82" i="15"/>
  <c r="AB82" i="15" s="1"/>
  <c r="AC98" i="15"/>
  <c r="AB98" i="15" s="1"/>
  <c r="Q80" i="15"/>
  <c r="P80" i="15" s="1"/>
  <c r="AA73" i="15"/>
  <c r="Z73" i="15" s="1"/>
  <c r="AC119" i="15"/>
  <c r="AB119" i="15" s="1"/>
  <c r="AT103" i="15"/>
  <c r="AS103" i="15" s="1"/>
  <c r="K75" i="15"/>
  <c r="J75" i="15" s="1"/>
  <c r="E73" i="15"/>
  <c r="D73" i="15" s="1"/>
  <c r="Y57" i="15"/>
  <c r="X57" i="15" s="1"/>
  <c r="AA58" i="15"/>
  <c r="Z58" i="15" s="1"/>
  <c r="AC85" i="15"/>
  <c r="AB85" i="15" s="1"/>
  <c r="C111" i="15"/>
  <c r="B111" i="15" s="1"/>
  <c r="AC122" i="15"/>
  <c r="AB122" i="15" s="1"/>
  <c r="C73" i="15"/>
  <c r="B73" i="15" s="1"/>
  <c r="C79" i="15"/>
  <c r="B79" i="15" s="1"/>
  <c r="AA113" i="15"/>
  <c r="Z113" i="15" s="1"/>
  <c r="E75" i="15"/>
  <c r="D75" i="15" s="1"/>
  <c r="E72" i="15"/>
  <c r="D72" i="15" s="1"/>
  <c r="S72" i="15"/>
  <c r="R72" i="15" s="1"/>
  <c r="AC104" i="15"/>
  <c r="AB104" i="15" s="1"/>
  <c r="AC97" i="15"/>
  <c r="AB97" i="15" s="1"/>
  <c r="C71" i="15"/>
  <c r="B71" i="15" s="1"/>
  <c r="K72" i="15"/>
  <c r="J72" i="15" s="1"/>
  <c r="C97" i="15"/>
  <c r="B97" i="15" s="1"/>
  <c r="Q122" i="15"/>
  <c r="P122" i="15" s="1"/>
  <c r="Q104" i="15"/>
  <c r="P104" i="15" s="1"/>
  <c r="Q98" i="15"/>
  <c r="P98" i="15" s="1"/>
  <c r="Q78" i="15"/>
  <c r="P78" i="15" s="1"/>
  <c r="AA103" i="15"/>
  <c r="Z103" i="15" s="1"/>
  <c r="AT96" i="15"/>
  <c r="AS96" i="15" s="1"/>
  <c r="Y122" i="15"/>
  <c r="X122" i="15" s="1"/>
  <c r="Y98" i="15"/>
  <c r="X98" i="15" s="1"/>
  <c r="AC78" i="15"/>
  <c r="AB78" i="15" s="1"/>
  <c r="C63" i="15"/>
  <c r="B63" i="15" s="1"/>
  <c r="Y112" i="15"/>
  <c r="X112" i="15" s="1"/>
  <c r="AT61" i="15"/>
  <c r="AS61" i="15" s="1"/>
  <c r="AT57" i="15"/>
  <c r="AS57" i="15" s="1"/>
  <c r="E71" i="15"/>
  <c r="D71" i="15" s="1"/>
  <c r="Q74" i="15"/>
  <c r="P74" i="15" s="1"/>
  <c r="Q112" i="15"/>
  <c r="P112" i="15" s="1"/>
  <c r="S99" i="15"/>
  <c r="R99" i="15" s="1"/>
  <c r="E119" i="15"/>
  <c r="D119" i="15" s="1"/>
  <c r="Y79" i="15"/>
  <c r="X79" i="15" s="1"/>
  <c r="AC118" i="15"/>
  <c r="AB118" i="15" s="1"/>
  <c r="C78" i="15"/>
  <c r="B78" i="15" s="1"/>
  <c r="Q111" i="15"/>
  <c r="P111" i="15" s="1"/>
  <c r="AC72" i="15"/>
  <c r="AB72" i="15" s="1"/>
  <c r="K71" i="15"/>
  <c r="J71" i="15" s="1"/>
  <c r="AT122" i="15"/>
  <c r="AS122" i="15" s="1"/>
  <c r="K58" i="15"/>
  <c r="J58" i="15" s="1"/>
  <c r="S74" i="15"/>
  <c r="R74" i="15" s="1"/>
  <c r="Q96" i="15"/>
  <c r="P96" i="15" s="1"/>
  <c r="C98" i="15"/>
  <c r="B98" i="15" s="1"/>
  <c r="AT58" i="15"/>
  <c r="AS58" i="15" s="1"/>
  <c r="K80" i="15"/>
  <c r="J80" i="15" s="1"/>
  <c r="AA61" i="15"/>
  <c r="Z61" i="15" s="1"/>
  <c r="K114" i="15"/>
  <c r="J114" i="15" s="1"/>
  <c r="S112" i="15"/>
  <c r="R112" i="15" s="1"/>
  <c r="S79" i="15"/>
  <c r="R79" i="15" s="1"/>
  <c r="S119" i="15"/>
  <c r="R119" i="15" s="1"/>
  <c r="K78" i="15"/>
  <c r="J78" i="15" s="1"/>
  <c r="C80" i="15"/>
  <c r="B80" i="15" s="1"/>
  <c r="S104" i="15"/>
  <c r="R104" i="15" s="1"/>
  <c r="K109" i="15"/>
  <c r="J109" i="15" s="1"/>
  <c r="C114" i="15"/>
  <c r="B114" i="15" s="1"/>
  <c r="AA119" i="15"/>
  <c r="Z119" i="15" s="1"/>
  <c r="AA122" i="15"/>
  <c r="Z122" i="15" s="1"/>
  <c r="AT74" i="15"/>
  <c r="AS74" i="15" s="1"/>
  <c r="K83" i="15"/>
  <c r="J83" i="15" s="1"/>
  <c r="S98" i="15"/>
  <c r="R98" i="15" s="1"/>
  <c r="AT97" i="15"/>
  <c r="AS97" i="15" s="1"/>
  <c r="E112" i="15"/>
  <c r="D112" i="15" s="1"/>
  <c r="E63" i="15"/>
  <c r="D63" i="15" s="1"/>
  <c r="AA98" i="15"/>
  <c r="Z98" i="15" s="1"/>
  <c r="C99" i="15"/>
  <c r="B99" i="15" s="1"/>
  <c r="AT81" i="15"/>
  <c r="AS81" i="15" s="1"/>
  <c r="AA57" i="15"/>
  <c r="Z57" i="15" s="1"/>
  <c r="AC99" i="15"/>
  <c r="AB99" i="15" s="1"/>
  <c r="AC80" i="15"/>
  <c r="AB80" i="15" s="1"/>
  <c r="Y119" i="15"/>
  <c r="X119" i="15" s="1"/>
  <c r="Y73" i="15"/>
  <c r="X73" i="15" s="1"/>
  <c r="Y82" i="15"/>
  <c r="X82" i="15" s="1"/>
  <c r="K82" i="15"/>
  <c r="J82" i="15" s="1"/>
  <c r="AA109" i="15"/>
  <c r="Z109" i="15" s="1"/>
  <c r="E57" i="15"/>
  <c r="D57" i="15" s="1"/>
  <c r="AT71" i="15"/>
  <c r="AS71" i="15" s="1"/>
  <c r="AA112" i="15"/>
  <c r="Z112" i="15" s="1"/>
  <c r="Y61" i="15"/>
  <c r="X61" i="15" s="1"/>
  <c r="S80" i="15"/>
  <c r="R80" i="15" s="1"/>
  <c r="Y109" i="15"/>
  <c r="X109" i="15" s="1"/>
  <c r="E78" i="15"/>
  <c r="D78" i="15" s="1"/>
  <c r="C57" i="15"/>
  <c r="B57" i="15" s="1"/>
  <c r="AA85" i="15"/>
  <c r="Z85" i="15" s="1"/>
  <c r="S71" i="15"/>
  <c r="R71" i="15" s="1"/>
  <c r="Y97" i="15"/>
  <c r="X97" i="15" s="1"/>
  <c r="Y83" i="15"/>
  <c r="X83" i="15" s="1"/>
  <c r="AA104" i="15"/>
  <c r="Z104" i="15" s="1"/>
  <c r="Y103" i="15"/>
  <c r="X103" i="15" s="1"/>
  <c r="AA72" i="15"/>
  <c r="Z72" i="15" s="1"/>
  <c r="K61" i="15"/>
  <c r="J61" i="15" s="1"/>
  <c r="E109" i="15"/>
  <c r="D109" i="15" s="1"/>
  <c r="E61" i="15"/>
  <c r="D61" i="15" s="1"/>
  <c r="AT75" i="15"/>
  <c r="AS75" i="15" s="1"/>
  <c r="E103" i="15"/>
  <c r="D103" i="15" s="1"/>
  <c r="Q58" i="15"/>
  <c r="P58" i="15" s="1"/>
  <c r="K122" i="15"/>
  <c r="J122" i="15" s="1"/>
  <c r="Y96" i="15"/>
  <c r="X96" i="15" s="1"/>
  <c r="K73" i="15"/>
  <c r="J73" i="15" s="1"/>
  <c r="K119" i="15"/>
  <c r="J119" i="15" s="1"/>
  <c r="Y58" i="15"/>
  <c r="X58" i="15" s="1"/>
  <c r="Y85" i="15"/>
  <c r="X85" i="15" s="1"/>
  <c r="S122" i="15"/>
  <c r="R122" i="15" s="1"/>
  <c r="S97" i="15"/>
  <c r="R97" i="15" s="1"/>
  <c r="C119" i="15"/>
  <c r="B119" i="15" s="1"/>
  <c r="S58" i="15"/>
  <c r="R58" i="15" s="1"/>
  <c r="AA83" i="15"/>
  <c r="Z83" i="15" s="1"/>
  <c r="E80" i="15"/>
  <c r="D80" i="15" s="1"/>
  <c r="AA75" i="15"/>
  <c r="Z75" i="15" s="1"/>
  <c r="AT85" i="15"/>
  <c r="AS85" i="15" s="1"/>
  <c r="AC111" i="15"/>
  <c r="AB111" i="15" s="1"/>
  <c r="Q75" i="15"/>
  <c r="P75" i="15" s="1"/>
  <c r="Q57" i="15"/>
  <c r="P57" i="15" s="1"/>
  <c r="Q71" i="15"/>
  <c r="P71" i="15" s="1"/>
  <c r="Q109" i="15"/>
  <c r="P109" i="15" s="1"/>
  <c r="Q113" i="15"/>
  <c r="P113" i="15" s="1"/>
  <c r="Q114" i="15"/>
  <c r="P114" i="15" s="1"/>
  <c r="Q60" i="15"/>
  <c r="P60" i="15" s="1"/>
  <c r="O72" i="15"/>
  <c r="N72" i="15" s="1"/>
  <c r="O99" i="15"/>
  <c r="N99" i="15" s="1"/>
  <c r="O104" i="15"/>
  <c r="N104" i="15" s="1"/>
  <c r="O111" i="15"/>
  <c r="N111" i="15" s="1"/>
  <c r="O75" i="15"/>
  <c r="N75" i="15" s="1"/>
  <c r="O112" i="15"/>
  <c r="N112" i="15" s="1"/>
  <c r="O109" i="15"/>
  <c r="N109" i="15" s="1"/>
  <c r="O80" i="15"/>
  <c r="N80" i="15" s="1"/>
  <c r="O79" i="15"/>
  <c r="N79" i="15" s="1"/>
  <c r="O98" i="15"/>
  <c r="N98" i="15" s="1"/>
  <c r="O61" i="15"/>
  <c r="N61" i="15" s="1"/>
  <c r="O57" i="15"/>
  <c r="N57" i="15" s="1"/>
  <c r="O82" i="15"/>
  <c r="N82" i="15" s="1"/>
  <c r="O83" i="15"/>
  <c r="N83" i="15" s="1"/>
  <c r="O74" i="15"/>
  <c r="N74" i="15" s="1"/>
  <c r="M96" i="15"/>
  <c r="L96" i="15" s="1"/>
  <c r="M114" i="15"/>
  <c r="L114" i="15" s="1"/>
  <c r="M97" i="15"/>
  <c r="L97" i="15" s="1"/>
  <c r="G82" i="15"/>
  <c r="F82" i="15" s="1"/>
  <c r="G122" i="15"/>
  <c r="F122" i="15" s="1"/>
  <c r="G61" i="15"/>
  <c r="F61" i="15" s="1"/>
  <c r="M82" i="15"/>
  <c r="L82" i="15" s="1"/>
  <c r="M79" i="15"/>
  <c r="L79" i="15" s="1"/>
  <c r="M112" i="15"/>
  <c r="L112" i="15" s="1"/>
  <c r="M104" i="15"/>
  <c r="L104" i="15" s="1"/>
  <c r="M57" i="15"/>
  <c r="L57" i="15" s="1"/>
  <c r="M74" i="15"/>
  <c r="L74" i="15" s="1"/>
  <c r="M63" i="15"/>
  <c r="L63" i="15" s="1"/>
  <c r="M98" i="15"/>
  <c r="L98" i="15" s="1"/>
  <c r="G71" i="15"/>
  <c r="F71" i="15" s="1"/>
  <c r="G112" i="15"/>
  <c r="F112" i="15" s="1"/>
  <c r="G114" i="15"/>
  <c r="F114" i="15" s="1"/>
  <c r="AA80" i="15"/>
  <c r="Z80" i="15" s="1"/>
  <c r="AT119" i="15"/>
  <c r="AS119" i="15" s="1"/>
  <c r="K103" i="15"/>
  <c r="J103" i="15" s="1"/>
  <c r="S103" i="15"/>
  <c r="R103" i="15" s="1"/>
  <c r="AT111" i="15"/>
  <c r="AS111" i="15" s="1"/>
  <c r="AC112" i="15"/>
  <c r="AB112" i="15" s="1"/>
  <c r="C113" i="15"/>
  <c r="B113" i="15" s="1"/>
  <c r="AC73" i="15"/>
  <c r="AB73" i="15" s="1"/>
  <c r="AC83" i="15"/>
  <c r="AB83" i="15" s="1"/>
  <c r="S75" i="15"/>
  <c r="R75" i="15" s="1"/>
  <c r="Y75" i="15"/>
  <c r="X75" i="15" s="1"/>
  <c r="E58" i="15"/>
  <c r="D58" i="15" s="1"/>
  <c r="AT73" i="15"/>
  <c r="AS73" i="15" s="1"/>
  <c r="AC96" i="15"/>
  <c r="AB96" i="15" s="1"/>
  <c r="Y63" i="15"/>
  <c r="X63" i="15" s="1"/>
  <c r="AA97" i="15"/>
  <c r="Z97" i="15" s="1"/>
  <c r="C83" i="15"/>
  <c r="B83" i="15" s="1"/>
  <c r="S85" i="15"/>
  <c r="R85" i="15" s="1"/>
  <c r="AT63" i="15"/>
  <c r="AS63" i="15" s="1"/>
  <c r="C61" i="15"/>
  <c r="B61" i="15" s="1"/>
  <c r="K96" i="15"/>
  <c r="J96" i="15" s="1"/>
  <c r="C82" i="15"/>
  <c r="B82" i="15" s="1"/>
  <c r="AA96" i="15"/>
  <c r="Z96" i="15" s="1"/>
  <c r="K111" i="15"/>
  <c r="J111" i="15" s="1"/>
  <c r="S96" i="15"/>
  <c r="R96" i="15" s="1"/>
  <c r="AT114" i="15"/>
  <c r="AS114" i="15" s="1"/>
  <c r="AA114" i="15"/>
  <c r="Z114" i="15" s="1"/>
  <c r="AC63" i="15"/>
  <c r="AB63" i="15" s="1"/>
  <c r="E113" i="15"/>
  <c r="D113" i="15" s="1"/>
  <c r="AA71" i="15"/>
  <c r="Z71" i="15" s="1"/>
  <c r="AC113" i="15"/>
  <c r="AB113" i="15" s="1"/>
  <c r="K97" i="15"/>
  <c r="J97" i="15" s="1"/>
  <c r="AT82" i="15"/>
  <c r="AS82" i="15" s="1"/>
  <c r="S73" i="15"/>
  <c r="R73" i="15" s="1"/>
  <c r="AC75" i="15"/>
  <c r="AB75" i="15" s="1"/>
  <c r="K113" i="15"/>
  <c r="J113" i="15" s="1"/>
  <c r="AT83" i="15"/>
  <c r="AS83" i="15" s="1"/>
  <c r="C122" i="15"/>
  <c r="B122" i="15" s="1"/>
  <c r="Y113" i="15"/>
  <c r="X113" i="15" s="1"/>
  <c r="AT80" i="15"/>
  <c r="AS80" i="15" s="1"/>
  <c r="Y72" i="15"/>
  <c r="X72" i="15" s="1"/>
  <c r="K85" i="15"/>
  <c r="J85" i="15" s="1"/>
  <c r="AC114" i="15"/>
  <c r="AB114" i="15" s="1"/>
  <c r="AT72" i="15"/>
  <c r="AS72" i="15" s="1"/>
  <c r="AA74" i="15"/>
  <c r="Z74" i="15" s="1"/>
  <c r="AT98" i="15"/>
  <c r="AS98" i="15" s="1"/>
  <c r="E114" i="15"/>
  <c r="D114" i="15" s="1"/>
  <c r="K99" i="15"/>
  <c r="J99" i="15" s="1"/>
  <c r="AC61" i="15"/>
  <c r="AB61" i="15" s="1"/>
  <c r="E111" i="15"/>
  <c r="D111" i="15" s="1"/>
  <c r="G74" i="15"/>
  <c r="F74" i="15" s="1"/>
  <c r="G119" i="15"/>
  <c r="F119" i="15" s="1"/>
  <c r="G80" i="15"/>
  <c r="F80" i="15" s="1"/>
  <c r="G63" i="15"/>
  <c r="F63" i="15" s="1"/>
  <c r="G78" i="15"/>
  <c r="F78" i="15" s="1"/>
  <c r="G58" i="15"/>
  <c r="F58" i="15" s="1"/>
  <c r="G57" i="15"/>
  <c r="F57" i="15" s="1"/>
  <c r="G75" i="15"/>
  <c r="F75" i="15" s="1"/>
  <c r="G113" i="15"/>
  <c r="F113" i="15" s="1"/>
  <c r="G72" i="15"/>
  <c r="F72" i="15" s="1"/>
  <c r="Q118" i="15"/>
  <c r="P118" i="15" s="1"/>
  <c r="P117" i="15" s="1"/>
  <c r="C58" i="15"/>
  <c r="B58" i="15" s="1"/>
  <c r="AC56" i="15"/>
  <c r="AB56" i="15" s="1"/>
  <c r="AB55" i="15" s="1"/>
  <c r="S78" i="15"/>
  <c r="R78" i="15" s="1"/>
  <c r="AA63" i="15"/>
  <c r="Z63" i="15" s="1"/>
  <c r="E74" i="15"/>
  <c r="D74" i="15" s="1"/>
  <c r="Y78" i="15"/>
  <c r="X78" i="15" s="1"/>
  <c r="AA111" i="15"/>
  <c r="Z111" i="15" s="1"/>
  <c r="Q97" i="15"/>
  <c r="P97" i="15" s="1"/>
  <c r="Q61" i="15"/>
  <c r="P61" i="15" s="1"/>
  <c r="Q79" i="15"/>
  <c r="P79" i="15" s="1"/>
  <c r="Q99" i="15"/>
  <c r="P99" i="15" s="1"/>
  <c r="K56" i="15"/>
  <c r="J56" i="15" s="1"/>
  <c r="J55" i="15" s="1"/>
  <c r="C72" i="15"/>
  <c r="B72" i="15" s="1"/>
  <c r="AT104" i="15"/>
  <c r="AS104" i="15" s="1"/>
  <c r="AT79" i="15"/>
  <c r="AS79" i="15" s="1"/>
  <c r="K79" i="15"/>
  <c r="J79" i="15" s="1"/>
  <c r="C96" i="15"/>
  <c r="B96" i="15" s="1"/>
  <c r="AT99" i="15"/>
  <c r="AS99" i="15" s="1"/>
  <c r="O96" i="15"/>
  <c r="N96" i="15" s="1"/>
  <c r="O122" i="15"/>
  <c r="N122" i="15" s="1"/>
  <c r="O119" i="15"/>
  <c r="N119" i="15" s="1"/>
  <c r="O71" i="15"/>
  <c r="N71" i="15" s="1"/>
  <c r="O63" i="15"/>
  <c r="N63" i="15" s="1"/>
  <c r="O113" i="15"/>
  <c r="N113" i="15" s="1"/>
  <c r="O103" i="15"/>
  <c r="N103" i="15" s="1"/>
  <c r="O60" i="15"/>
  <c r="N60" i="15" s="1"/>
  <c r="N59" i="15" s="1"/>
  <c r="G118" i="15"/>
  <c r="F118" i="15" s="1"/>
  <c r="F117" i="15" s="1"/>
  <c r="G83" i="15"/>
  <c r="F83" i="15" s="1"/>
  <c r="G73" i="15"/>
  <c r="F73" i="15" s="1"/>
  <c r="M73" i="15"/>
  <c r="L73" i="15" s="1"/>
  <c r="M72" i="15"/>
  <c r="L72" i="15" s="1"/>
  <c r="M85" i="15"/>
  <c r="L85" i="15" s="1"/>
  <c r="M71" i="15"/>
  <c r="L71" i="15" s="1"/>
  <c r="M78" i="15"/>
  <c r="L78" i="15" s="1"/>
  <c r="M109" i="15"/>
  <c r="L109" i="15" s="1"/>
  <c r="M103" i="15"/>
  <c r="L103" i="15" s="1"/>
  <c r="G111" i="15"/>
  <c r="F111" i="15" s="1"/>
  <c r="G98" i="15"/>
  <c r="F98" i="15" s="1"/>
  <c r="M80" i="15"/>
  <c r="L80" i="15" s="1"/>
  <c r="M118" i="15"/>
  <c r="L118" i="15" s="1"/>
  <c r="G99" i="15"/>
  <c r="F99" i="15" s="1"/>
  <c r="G109" i="15"/>
  <c r="F109" i="15" s="1"/>
  <c r="Y111" i="15"/>
  <c r="X111" i="15" s="1"/>
  <c r="C103" i="15"/>
  <c r="B103" i="15" s="1"/>
  <c r="AC74" i="15"/>
  <c r="AB74" i="15" s="1"/>
  <c r="Q85" i="15"/>
  <c r="P85" i="15" s="1"/>
  <c r="Q63" i="15"/>
  <c r="P63" i="15" s="1"/>
  <c r="AT78" i="15"/>
  <c r="AS78" i="15" s="1"/>
  <c r="E79" i="15"/>
  <c r="D79" i="15" s="1"/>
  <c r="AC109" i="15"/>
  <c r="AB109" i="15" s="1"/>
  <c r="K112" i="15"/>
  <c r="J112" i="15" s="1"/>
  <c r="O114" i="15"/>
  <c r="N114" i="15" s="1"/>
  <c r="O73" i="15"/>
  <c r="N73" i="15" s="1"/>
  <c r="O78" i="15"/>
  <c r="N78" i="15" s="1"/>
  <c r="O118" i="15"/>
  <c r="N118" i="15" s="1"/>
  <c r="N117" i="15" s="1"/>
  <c r="AA118" i="15"/>
  <c r="Z118" i="15" s="1"/>
  <c r="Z117" i="15" s="1"/>
  <c r="G70" i="15"/>
  <c r="F70" i="15" s="1"/>
  <c r="AC88" i="15"/>
  <c r="AB88" i="15" s="1"/>
  <c r="AA70" i="15"/>
  <c r="Z70" i="15" s="1"/>
  <c r="C88" i="15"/>
  <c r="B88" i="15" s="1"/>
  <c r="B87" i="15" s="1"/>
  <c r="M88" i="15"/>
  <c r="L88" i="15" s="1"/>
  <c r="S88" i="15"/>
  <c r="R88" i="15" s="1"/>
  <c r="E70" i="15"/>
  <c r="D70" i="15" s="1"/>
  <c r="G121" i="15"/>
  <c r="F121" i="15" s="1"/>
  <c r="F120" i="15" s="1"/>
  <c r="E122" i="15"/>
  <c r="D122" i="15" s="1"/>
  <c r="S82" i="15"/>
  <c r="R82" i="15" s="1"/>
  <c r="E82" i="15"/>
  <c r="D82" i="15" s="1"/>
  <c r="Y99" i="15"/>
  <c r="X99" i="15" s="1"/>
  <c r="Q73" i="15"/>
  <c r="P73" i="15" s="1"/>
  <c r="S114" i="15"/>
  <c r="R114" i="15" s="1"/>
  <c r="AA78" i="15"/>
  <c r="Z78" i="15" s="1"/>
  <c r="AC103" i="15"/>
  <c r="AB103" i="15" s="1"/>
  <c r="E56" i="15"/>
  <c r="D56" i="15" s="1"/>
  <c r="D55" i="15" s="1"/>
  <c r="O97" i="15"/>
  <c r="N97" i="15" s="1"/>
  <c r="O85" i="15"/>
  <c r="N85" i="15" s="1"/>
  <c r="O58" i="15"/>
  <c r="N58" i="15" s="1"/>
  <c r="O56" i="15"/>
  <c r="N56" i="15" s="1"/>
  <c r="E118" i="15"/>
  <c r="D118" i="15" s="1"/>
  <c r="D117" i="15" s="1"/>
  <c r="Y118" i="15"/>
  <c r="X118" i="15" s="1"/>
  <c r="X117" i="15" s="1"/>
  <c r="AT118" i="15"/>
  <c r="AS118" i="15" s="1"/>
  <c r="AS117" i="15" s="1"/>
  <c r="S60" i="15"/>
  <c r="R60" i="15" s="1"/>
  <c r="R59" i="15" s="1"/>
  <c r="G96" i="15"/>
  <c r="F96" i="15" s="1"/>
  <c r="M61" i="15"/>
  <c r="L61" i="15" s="1"/>
  <c r="M99" i="15"/>
  <c r="L99" i="15" s="1"/>
  <c r="M113" i="15"/>
  <c r="L113" i="15" s="1"/>
  <c r="M75" i="15"/>
  <c r="L75" i="15" s="1"/>
  <c r="G103" i="15"/>
  <c r="F103" i="15" s="1"/>
  <c r="M119" i="15"/>
  <c r="L119" i="15" s="1"/>
  <c r="G56" i="15"/>
  <c r="F56" i="15" s="1"/>
  <c r="F55" i="15" s="1"/>
  <c r="G97" i="15"/>
  <c r="F97" i="15" s="1"/>
  <c r="S118" i="15"/>
  <c r="R118" i="15" s="1"/>
  <c r="R117" i="15" s="1"/>
  <c r="AA56" i="15"/>
  <c r="Z56" i="15" s="1"/>
  <c r="Z55" i="15" s="1"/>
  <c r="AT60" i="15"/>
  <c r="AS60" i="15" s="1"/>
  <c r="AS59" i="15" s="1"/>
  <c r="Q56" i="15"/>
  <c r="P56" i="15" s="1"/>
  <c r="P55" i="15" s="1"/>
  <c r="AT56" i="15"/>
  <c r="AS56" i="15" s="1"/>
  <c r="AS55" i="15" s="1"/>
  <c r="C60" i="15"/>
  <c r="B60" i="15" s="1"/>
  <c r="B59" i="15" s="1"/>
  <c r="M56" i="15"/>
  <c r="L56" i="15" s="1"/>
  <c r="M70" i="15"/>
  <c r="L70" i="15" s="1"/>
  <c r="S70" i="15"/>
  <c r="R70" i="15" s="1"/>
  <c r="R64" i="15" s="1"/>
  <c r="E88" i="15"/>
  <c r="D88" i="15" s="1"/>
  <c r="D87" i="15" s="1"/>
  <c r="Y88" i="15"/>
  <c r="X88" i="15" s="1"/>
  <c r="X87" i="15" s="1"/>
  <c r="Q70" i="15"/>
  <c r="P70" i="15" s="1"/>
  <c r="P64" i="15" s="1"/>
  <c r="K88" i="15"/>
  <c r="J88" i="15" s="1"/>
  <c r="J87" i="15" s="1"/>
  <c r="Y70" i="15"/>
  <c r="X70" i="15" s="1"/>
  <c r="X64" i="15" s="1"/>
  <c r="S121" i="15"/>
  <c r="R121" i="15" s="1"/>
  <c r="R120" i="15" s="1"/>
  <c r="C121" i="15"/>
  <c r="B121" i="15" s="1"/>
  <c r="B120" i="15" s="1"/>
  <c r="G79" i="15"/>
  <c r="F79" i="15" s="1"/>
  <c r="M122" i="15"/>
  <c r="L122" i="15" s="1"/>
  <c r="M58" i="15"/>
  <c r="L58" i="15" s="1"/>
  <c r="M111" i="15"/>
  <c r="L111" i="15" s="1"/>
  <c r="M83" i="15"/>
  <c r="L83" i="15" s="1"/>
  <c r="G104" i="15"/>
  <c r="F104" i="15" s="1"/>
  <c r="G85" i="15"/>
  <c r="F85" i="15" s="1"/>
  <c r="G60" i="15"/>
  <c r="F60" i="15" s="1"/>
  <c r="F59" i="15" s="1"/>
  <c r="C56" i="15"/>
  <c r="B56" i="15" s="1"/>
  <c r="B55" i="15" s="1"/>
  <c r="K118" i="15"/>
  <c r="J118" i="15" s="1"/>
  <c r="J117" i="15" s="1"/>
  <c r="S56" i="15"/>
  <c r="R56" i="15" s="1"/>
  <c r="R55" i="15" s="1"/>
  <c r="Y56" i="15"/>
  <c r="X56" i="15" s="1"/>
  <c r="X55" i="15" s="1"/>
  <c r="C118" i="15"/>
  <c r="B118" i="15" s="1"/>
  <c r="B117" i="15" s="1"/>
  <c r="K60" i="15"/>
  <c r="J60" i="15" s="1"/>
  <c r="J59" i="15" s="1"/>
  <c r="AA60" i="15"/>
  <c r="Z60" i="15" s="1"/>
  <c r="Z59" i="15" s="1"/>
  <c r="G88" i="15"/>
  <c r="F88" i="15" s="1"/>
  <c r="F87" i="15" s="1"/>
  <c r="K121" i="15"/>
  <c r="J121" i="15" s="1"/>
  <c r="J120" i="15" s="1"/>
  <c r="M60" i="15"/>
  <c r="L60" i="15" s="1"/>
  <c r="L59" i="15" s="1"/>
  <c r="AA88" i="15"/>
  <c r="Z88" i="15" s="1"/>
  <c r="Z87" i="15" s="1"/>
  <c r="O121" i="15"/>
  <c r="N121" i="15" s="1"/>
  <c r="N120" i="15" s="1"/>
  <c r="E121" i="15"/>
  <c r="D121" i="15" s="1"/>
  <c r="D120" i="15" s="1"/>
  <c r="AT88" i="15"/>
  <c r="AS88" i="15" s="1"/>
  <c r="C70" i="15"/>
  <c r="B70" i="15" s="1"/>
  <c r="B64" i="15" s="1"/>
  <c r="Q88" i="15"/>
  <c r="P88" i="15" s="1"/>
  <c r="P87" i="15" s="1"/>
  <c r="Y60" i="15"/>
  <c r="X60" i="15" s="1"/>
  <c r="X59" i="15" s="1"/>
  <c r="O88" i="15"/>
  <c r="N88" i="15" s="1"/>
  <c r="N87" i="15" s="1"/>
  <c r="O70" i="15"/>
  <c r="N70" i="15" s="1"/>
  <c r="N64" i="15" s="1"/>
  <c r="AC121" i="15"/>
  <c r="AB121" i="15" s="1"/>
  <c r="AB120" i="15" s="1"/>
  <c r="Q121" i="15"/>
  <c r="P121" i="15" s="1"/>
  <c r="P120" i="15" s="1"/>
  <c r="AC60" i="15"/>
  <c r="AB60" i="15" s="1"/>
  <c r="AB59" i="15" s="1"/>
  <c r="E60" i="15"/>
  <c r="D60" i="15" s="1"/>
  <c r="D59" i="15" s="1"/>
  <c r="AC70" i="15"/>
  <c r="AB70" i="15" s="1"/>
  <c r="AB64" i="15" s="1"/>
  <c r="K70" i="15"/>
  <c r="J70" i="15" s="1"/>
  <c r="J64" i="15" s="1"/>
  <c r="AA121" i="15"/>
  <c r="Z121" i="15" s="1"/>
  <c r="Z120" i="15" s="1"/>
  <c r="M121" i="15"/>
  <c r="L121" i="15" s="1"/>
  <c r="L120" i="15" s="1"/>
  <c r="Y121" i="15"/>
  <c r="X121" i="15" s="1"/>
  <c r="X120" i="15" s="1"/>
  <c r="AT121" i="15"/>
  <c r="AS121" i="15" s="1"/>
  <c r="AS120" i="15" s="1"/>
  <c r="BE18" i="6"/>
  <c r="BD124" i="6"/>
  <c r="AX119" i="15"/>
  <c r="J123" i="8"/>
  <c r="E126" i="6"/>
  <c r="T26" i="6"/>
  <c r="O26" i="6"/>
  <c r="BX26" i="6"/>
  <c r="BY26" i="6" s="1"/>
  <c r="AQ26" i="8"/>
  <c r="K79" i="6"/>
  <c r="U76" i="8" s="1"/>
  <c r="V76" i="8"/>
  <c r="BE119" i="15"/>
  <c r="BD123" i="8"/>
  <c r="AZ123" i="8"/>
  <c r="Q126" i="6"/>
  <c r="V125" i="8"/>
  <c r="K128" i="6"/>
  <c r="V60" i="8"/>
  <c r="K63" i="6"/>
  <c r="U60" i="8" s="1"/>
  <c r="K118" i="6"/>
  <c r="U115" i="8" s="1"/>
  <c r="V115" i="8"/>
  <c r="V85" i="8"/>
  <c r="K88" i="6"/>
  <c r="U85" i="8" s="1"/>
  <c r="Y93" i="6"/>
  <c r="AQ94" i="6"/>
  <c r="V103" i="8"/>
  <c r="K106" i="6"/>
  <c r="U103" i="8" s="1"/>
  <c r="AX78" i="15"/>
  <c r="J81" i="8"/>
  <c r="E84" i="6"/>
  <c r="AZ91" i="8"/>
  <c r="BE88" i="15"/>
  <c r="BD91" i="8"/>
  <c r="Q94" i="6"/>
  <c r="V98" i="8"/>
  <c r="K101" i="6"/>
  <c r="U98" i="8" s="1"/>
  <c r="V118" i="8"/>
  <c r="K121" i="6"/>
  <c r="U118" i="8" s="1"/>
  <c r="V100" i="8"/>
  <c r="K103" i="6"/>
  <c r="U100" i="8" s="1"/>
  <c r="V106" i="8"/>
  <c r="K109" i="6"/>
  <c r="U106" i="8" s="1"/>
  <c r="V99" i="8"/>
  <c r="K102" i="6"/>
  <c r="U99" i="8" s="1"/>
  <c r="V75" i="8"/>
  <c r="K78" i="6"/>
  <c r="U75" i="8" s="1"/>
  <c r="V101" i="8"/>
  <c r="K104" i="6"/>
  <c r="U101" i="8" s="1"/>
  <c r="V61" i="8"/>
  <c r="K64" i="6"/>
  <c r="U61" i="8" s="1"/>
  <c r="AE131" i="6"/>
  <c r="Y65" i="6"/>
  <c r="AQ66" i="6"/>
  <c r="J106" i="8"/>
  <c r="AX103" i="15"/>
  <c r="E109" i="6"/>
  <c r="J74" i="8"/>
  <c r="AX71" i="15"/>
  <c r="E77" i="6"/>
  <c r="K120" i="6"/>
  <c r="U117" i="8" s="1"/>
  <c r="V117" i="8"/>
  <c r="J59" i="8"/>
  <c r="AX56" i="15"/>
  <c r="E62" i="6"/>
  <c r="Y61" i="6"/>
  <c r="AQ62" i="6"/>
  <c r="AX75" i="15"/>
  <c r="J78" i="8"/>
  <c r="E81" i="6"/>
  <c r="AX114" i="15"/>
  <c r="J118" i="8"/>
  <c r="E121" i="6"/>
  <c r="J77" i="8"/>
  <c r="AX74" i="15"/>
  <c r="E80" i="6"/>
  <c r="J115" i="8"/>
  <c r="AX112" i="15"/>
  <c r="E118" i="6"/>
  <c r="BE57" i="15"/>
  <c r="AZ60" i="8"/>
  <c r="Q63" i="6"/>
  <c r="BD63" i="8"/>
  <c r="BE60" i="15"/>
  <c r="AZ63" i="8"/>
  <c r="Q66" i="6"/>
  <c r="E102" i="6"/>
  <c r="V102" i="8"/>
  <c r="K105" i="6"/>
  <c r="U102" i="8" s="1"/>
  <c r="AK61" i="6"/>
  <c r="AX121" i="15"/>
  <c r="J125" i="8"/>
  <c r="E128" i="6"/>
  <c r="J75" i="8"/>
  <c r="AX72" i="15"/>
  <c r="E78" i="6"/>
  <c r="BD59" i="8"/>
  <c r="BD60" i="8"/>
  <c r="BE56" i="15"/>
  <c r="AZ59" i="8"/>
  <c r="Q62" i="6"/>
  <c r="AX85" i="15"/>
  <c r="J88" i="8"/>
  <c r="E91" i="6"/>
  <c r="BD84" i="8"/>
  <c r="BE81" i="15"/>
  <c r="AZ84" i="8"/>
  <c r="Q87" i="6"/>
  <c r="BD115" i="8"/>
  <c r="AZ115" i="8"/>
  <c r="BE112" i="15"/>
  <c r="Q118" i="6"/>
  <c r="AZ81" i="8"/>
  <c r="BD81" i="8"/>
  <c r="BE78" i="15"/>
  <c r="Q84" i="6"/>
  <c r="BE82" i="15"/>
  <c r="BD85" i="8"/>
  <c r="AZ85" i="8"/>
  <c r="Q88" i="6"/>
  <c r="AX73" i="15"/>
  <c r="J76" i="8"/>
  <c r="E79" i="6"/>
  <c r="AZ103" i="8"/>
  <c r="BE99" i="15"/>
  <c r="BD103" i="8"/>
  <c r="Q106" i="6"/>
  <c r="BD75" i="8"/>
  <c r="BE72" i="15"/>
  <c r="AZ75" i="8"/>
  <c r="Q78" i="6"/>
  <c r="BE96" i="15"/>
  <c r="BD100" i="8"/>
  <c r="AZ100" i="8"/>
  <c r="Q103" i="6"/>
  <c r="BD109" i="8"/>
  <c r="AZ109" i="8"/>
  <c r="Q112" i="6"/>
  <c r="BD102" i="8"/>
  <c r="BE98" i="15"/>
  <c r="AZ102" i="8"/>
  <c r="Q105" i="6"/>
  <c r="BD77" i="8"/>
  <c r="BE74" i="15"/>
  <c r="AZ77" i="8"/>
  <c r="Q80" i="6"/>
  <c r="BE103" i="15"/>
  <c r="AZ106" i="8"/>
  <c r="BD106" i="8"/>
  <c r="Q109" i="6"/>
  <c r="BD116" i="8"/>
  <c r="AZ116" i="8"/>
  <c r="Q119" i="6"/>
  <c r="AZ99" i="8"/>
  <c r="Q102" i="6"/>
  <c r="AY99" i="8" s="1"/>
  <c r="AZ118" i="8"/>
  <c r="BD118" i="8"/>
  <c r="Q121" i="6"/>
  <c r="BE114" i="15"/>
  <c r="V82" i="8"/>
  <c r="K85" i="6"/>
  <c r="U82" i="8" s="1"/>
  <c r="V107" i="8"/>
  <c r="K110" i="6"/>
  <c r="U107" i="8" s="1"/>
  <c r="V74" i="8"/>
  <c r="K77" i="6"/>
  <c r="U74" i="8" s="1"/>
  <c r="AS6" i="8"/>
  <c r="O77" i="6"/>
  <c r="O86" i="6"/>
  <c r="O81" i="6"/>
  <c r="O88" i="6"/>
  <c r="O128" i="6"/>
  <c r="O76" i="6"/>
  <c r="O84" i="6"/>
  <c r="O104" i="6"/>
  <c r="O69" i="6"/>
  <c r="O64" i="6"/>
  <c r="O80" i="6"/>
  <c r="O121" i="6"/>
  <c r="O112" i="6"/>
  <c r="O120" i="6"/>
  <c r="O78" i="6"/>
  <c r="O102" i="6"/>
  <c r="O87" i="6"/>
  <c r="O106" i="6"/>
  <c r="O119" i="6"/>
  <c r="O67" i="6"/>
  <c r="O109" i="6"/>
  <c r="O62" i="6"/>
  <c r="O130" i="6"/>
  <c r="O94" i="6"/>
  <c r="O110" i="6"/>
  <c r="O89" i="6"/>
  <c r="O91" i="6"/>
  <c r="O63" i="6"/>
  <c r="N63" i="6" s="1"/>
  <c r="AQ60" i="8" s="1"/>
  <c r="O117" i="6"/>
  <c r="O85" i="6"/>
  <c r="O66" i="6"/>
  <c r="O118" i="6"/>
  <c r="O105" i="6"/>
  <c r="O103" i="6"/>
  <c r="O101" i="6"/>
  <c r="O79" i="6"/>
  <c r="V6" i="6"/>
  <c r="O113" i="6" s="1"/>
  <c r="O126" i="6"/>
  <c r="AQ24" i="8"/>
  <c r="AJ85" i="8"/>
  <c r="AI85" i="8" s="1"/>
  <c r="AB78" i="8"/>
  <c r="AA78" i="8" s="1"/>
  <c r="AP73" i="8"/>
  <c r="AO73" i="8" s="1"/>
  <c r="AJ75" i="8"/>
  <c r="AI75" i="8" s="1"/>
  <c r="AB82" i="8"/>
  <c r="AA82" i="8" s="1"/>
  <c r="T60" i="8"/>
  <c r="S60" i="8" s="1"/>
  <c r="T102" i="8"/>
  <c r="S102" i="8" s="1"/>
  <c r="AN127" i="8"/>
  <c r="AM127" i="8" s="1"/>
  <c r="AB102" i="8"/>
  <c r="AA102" i="8" s="1"/>
  <c r="AN84" i="8"/>
  <c r="AM84" i="8" s="1"/>
  <c r="E107" i="8"/>
  <c r="D107" i="8" s="1"/>
  <c r="AP101" i="8"/>
  <c r="AO101" i="8" s="1"/>
  <c r="T127" i="8"/>
  <c r="S127" i="8" s="1"/>
  <c r="Z85" i="8"/>
  <c r="Y85" i="8" s="1"/>
  <c r="AB103" i="8"/>
  <c r="AA103" i="8" s="1"/>
  <c r="AP100" i="8"/>
  <c r="AO100" i="8" s="1"/>
  <c r="AP61" i="8"/>
  <c r="AO61" i="8" s="1"/>
  <c r="AP88" i="8"/>
  <c r="AO88" i="8" s="1"/>
  <c r="E115" i="8"/>
  <c r="D115" i="8" s="1"/>
  <c r="AP86" i="8"/>
  <c r="AO86" i="8" s="1"/>
  <c r="AB73" i="8"/>
  <c r="AA73" i="8" s="1"/>
  <c r="E75" i="8"/>
  <c r="D75" i="8" s="1"/>
  <c r="AN115" i="8"/>
  <c r="AM115" i="8" s="1"/>
  <c r="T82" i="8"/>
  <c r="S82" i="8" s="1"/>
  <c r="AB116" i="8"/>
  <c r="AA116" i="8" s="1"/>
  <c r="AP118" i="8"/>
  <c r="AO118" i="8" s="1"/>
  <c r="AJ84" i="8"/>
  <c r="AI84" i="8" s="1"/>
  <c r="AN64" i="8"/>
  <c r="AM64" i="8" s="1"/>
  <c r="AB74" i="8"/>
  <c r="AA74" i="8" s="1"/>
  <c r="Z88" i="8"/>
  <c r="Y88" i="8" s="1"/>
  <c r="T100" i="8"/>
  <c r="S100" i="8" s="1"/>
  <c r="E99" i="8"/>
  <c r="D99" i="8" s="1"/>
  <c r="AB77" i="8"/>
  <c r="AA77" i="8" s="1"/>
  <c r="T115" i="8"/>
  <c r="S115" i="8" s="1"/>
  <c r="AP84" i="8"/>
  <c r="AO84" i="8" s="1"/>
  <c r="Z84" i="8"/>
  <c r="Y84" i="8" s="1"/>
  <c r="T75" i="8"/>
  <c r="S75" i="8" s="1"/>
  <c r="Z100" i="8"/>
  <c r="Y100" i="8" s="1"/>
  <c r="AJ83" i="8"/>
  <c r="AI83" i="8" s="1"/>
  <c r="AB115" i="8"/>
  <c r="AA115" i="8" s="1"/>
  <c r="E116" i="8"/>
  <c r="D116" i="8" s="1"/>
  <c r="AN99" i="8"/>
  <c r="AM99" i="8" s="1"/>
  <c r="E100" i="8"/>
  <c r="D100" i="8" s="1"/>
  <c r="AB66" i="8"/>
  <c r="AA66" i="8" s="1"/>
  <c r="Z82" i="8"/>
  <c r="Y82" i="8" s="1"/>
  <c r="AB86" i="8"/>
  <c r="AA86" i="8" s="1"/>
  <c r="AJ74" i="8"/>
  <c r="AI74" i="8" s="1"/>
  <c r="T88" i="8"/>
  <c r="S88" i="8" s="1"/>
  <c r="AN75" i="8"/>
  <c r="AM75" i="8" s="1"/>
  <c r="E64" i="8"/>
  <c r="D64" i="8" s="1"/>
  <c r="AP66" i="8"/>
  <c r="AO66" i="8" s="1"/>
  <c r="E74" i="8"/>
  <c r="D74" i="8" s="1"/>
  <c r="AV78" i="8"/>
  <c r="AU78" i="8" s="1"/>
  <c r="AV64" i="8"/>
  <c r="AU64" i="8" s="1"/>
  <c r="AV116" i="8"/>
  <c r="AU116" i="8" s="1"/>
  <c r="AV83" i="8"/>
  <c r="AU83" i="8" s="1"/>
  <c r="AV98" i="8"/>
  <c r="AU98" i="8" s="1"/>
  <c r="AV76" i="8"/>
  <c r="AU76" i="8" s="1"/>
  <c r="AV88" i="8"/>
  <c r="AU88" i="8" s="1"/>
  <c r="AV81" i="8"/>
  <c r="AU81" i="8" s="1"/>
  <c r="AV66" i="8"/>
  <c r="AU66" i="8" s="1"/>
  <c r="AV102" i="8"/>
  <c r="AU102" i="8" s="1"/>
  <c r="AV109" i="8"/>
  <c r="AU109" i="8" s="1"/>
  <c r="AV61" i="8"/>
  <c r="AU61" i="8" s="1"/>
  <c r="AV106" i="8"/>
  <c r="AU106" i="8" s="1"/>
  <c r="AV82" i="8"/>
  <c r="AU82" i="8" s="1"/>
  <c r="AV103" i="8"/>
  <c r="AU103" i="8" s="1"/>
  <c r="AV85" i="8"/>
  <c r="AU85" i="8" s="1"/>
  <c r="AX81" i="8"/>
  <c r="AW81" i="8" s="1"/>
  <c r="AX85" i="8"/>
  <c r="AW85" i="8" s="1"/>
  <c r="AX60" i="8"/>
  <c r="AW60" i="8" s="1"/>
  <c r="AX86" i="8"/>
  <c r="AW86" i="8" s="1"/>
  <c r="AX114" i="8"/>
  <c r="AW114" i="8" s="1"/>
  <c r="AX118" i="8"/>
  <c r="AW118" i="8" s="1"/>
  <c r="AX61" i="8"/>
  <c r="AW61" i="8" s="1"/>
  <c r="AX66" i="8"/>
  <c r="AW66" i="8" s="1"/>
  <c r="AX117" i="8"/>
  <c r="AW117" i="8" s="1"/>
  <c r="AX100" i="8"/>
  <c r="AW100" i="8" s="1"/>
  <c r="AX83" i="8"/>
  <c r="AW83" i="8" s="1"/>
  <c r="AX77" i="8"/>
  <c r="AW77" i="8" s="1"/>
  <c r="AX73" i="8"/>
  <c r="AW73" i="8" s="1"/>
  <c r="AX102" i="8"/>
  <c r="AW102" i="8" s="1"/>
  <c r="AX116" i="8"/>
  <c r="AW116" i="8" s="1"/>
  <c r="AX103" i="8"/>
  <c r="AW103" i="8" s="1"/>
  <c r="AV115" i="8"/>
  <c r="AU115" i="8" s="1"/>
  <c r="AV75" i="8"/>
  <c r="AU75" i="8" s="1"/>
  <c r="AV118" i="8"/>
  <c r="AU118" i="8" s="1"/>
  <c r="AV86" i="8"/>
  <c r="AU86" i="8" s="1"/>
  <c r="AV84" i="8"/>
  <c r="AU84" i="8" s="1"/>
  <c r="AV107" i="8"/>
  <c r="AU107" i="8" s="1"/>
  <c r="AV114" i="8"/>
  <c r="AU114" i="8" s="1"/>
  <c r="AV117" i="8"/>
  <c r="AU117" i="8" s="1"/>
  <c r="AD61" i="8"/>
  <c r="AC61" i="8" s="1"/>
  <c r="AD106" i="8"/>
  <c r="AC106" i="8" s="1"/>
  <c r="AD77" i="8"/>
  <c r="AC77" i="8" s="1"/>
  <c r="R102" i="8"/>
  <c r="Q102" i="8" s="1"/>
  <c r="R73" i="8"/>
  <c r="Q73" i="8" s="1"/>
  <c r="R115" i="8"/>
  <c r="Q115" i="8" s="1"/>
  <c r="R61" i="8"/>
  <c r="Q61" i="8" s="1"/>
  <c r="R83" i="8"/>
  <c r="Q83" i="8" s="1"/>
  <c r="R64" i="8"/>
  <c r="Q64" i="8" s="1"/>
  <c r="R81" i="8"/>
  <c r="Q81" i="8" s="1"/>
  <c r="R107" i="8"/>
  <c r="Q107" i="8" s="1"/>
  <c r="R103" i="8"/>
  <c r="Q103" i="8" s="1"/>
  <c r="R98" i="8"/>
  <c r="Q98" i="8" s="1"/>
  <c r="R100" i="8"/>
  <c r="Q100" i="8" s="1"/>
  <c r="R74" i="8"/>
  <c r="Q74" i="8" s="1"/>
  <c r="R106" i="8"/>
  <c r="Q106" i="8" s="1"/>
  <c r="R82" i="8"/>
  <c r="Q82" i="8" s="1"/>
  <c r="R99" i="8"/>
  <c r="Q99" i="8" s="1"/>
  <c r="R117" i="8"/>
  <c r="Q117" i="8" s="1"/>
  <c r="AD86" i="8"/>
  <c r="AC86" i="8" s="1"/>
  <c r="AD116" i="8"/>
  <c r="AC116" i="8" s="1"/>
  <c r="AD114" i="8"/>
  <c r="AC114" i="8" s="1"/>
  <c r="AD74" i="8"/>
  <c r="AC74" i="8" s="1"/>
  <c r="AD99" i="8"/>
  <c r="AC99" i="8" s="1"/>
  <c r="AD117" i="8"/>
  <c r="AC117" i="8" s="1"/>
  <c r="AD76" i="8"/>
  <c r="AC76" i="8" s="1"/>
  <c r="AD84" i="8"/>
  <c r="AC84" i="8" s="1"/>
  <c r="AD85" i="8"/>
  <c r="AC85" i="8" s="1"/>
  <c r="AD107" i="8"/>
  <c r="AC107" i="8" s="1"/>
  <c r="AD60" i="8"/>
  <c r="AC60" i="8" s="1"/>
  <c r="R78" i="8"/>
  <c r="Q78" i="8" s="1"/>
  <c r="R60" i="8"/>
  <c r="Q60" i="8" s="1"/>
  <c r="P60" i="8"/>
  <c r="O60" i="8" s="1"/>
  <c r="P127" i="8"/>
  <c r="O127" i="8" s="1"/>
  <c r="P64" i="8"/>
  <c r="O64" i="8" s="1"/>
  <c r="P66" i="8"/>
  <c r="O66" i="8" s="1"/>
  <c r="P107" i="8"/>
  <c r="O107" i="8" s="1"/>
  <c r="P101" i="8"/>
  <c r="O101" i="8" s="1"/>
  <c r="P75" i="8"/>
  <c r="O75" i="8" s="1"/>
  <c r="P61" i="8"/>
  <c r="O61" i="8" s="1"/>
  <c r="P98" i="8"/>
  <c r="O98" i="8" s="1"/>
  <c r="P78" i="8"/>
  <c r="O78" i="8" s="1"/>
  <c r="P74" i="8"/>
  <c r="O74" i="8" s="1"/>
  <c r="P102" i="8"/>
  <c r="O102" i="8" s="1"/>
  <c r="P84" i="8"/>
  <c r="O84" i="8" s="1"/>
  <c r="P83" i="8"/>
  <c r="O83" i="8" s="1"/>
  <c r="P103" i="8"/>
  <c r="O103" i="8" s="1"/>
  <c r="P77" i="8"/>
  <c r="O77" i="8" s="1"/>
  <c r="P106" i="8"/>
  <c r="O106" i="8" s="1"/>
  <c r="P100" i="8"/>
  <c r="O100" i="8" s="1"/>
  <c r="P118" i="8"/>
  <c r="O118" i="8" s="1"/>
  <c r="P82" i="8"/>
  <c r="O82" i="8" s="1"/>
  <c r="P86" i="8"/>
  <c r="O86" i="8" s="1"/>
  <c r="P109" i="8"/>
  <c r="O109" i="8" s="1"/>
  <c r="P88" i="8"/>
  <c r="O88" i="8" s="1"/>
  <c r="P114" i="8"/>
  <c r="O114" i="8" s="1"/>
  <c r="P116" i="8"/>
  <c r="O116" i="8" s="1"/>
  <c r="P115" i="8"/>
  <c r="O115" i="8" s="1"/>
  <c r="P85" i="8"/>
  <c r="O85" i="8" s="1"/>
  <c r="P117" i="8"/>
  <c r="O117" i="8" s="1"/>
  <c r="P99" i="8"/>
  <c r="O99" i="8" s="1"/>
  <c r="P73" i="8"/>
  <c r="O73" i="8" s="1"/>
  <c r="P81" i="8"/>
  <c r="O81" i="8" s="1"/>
  <c r="P76" i="8"/>
  <c r="O76" i="8" s="1"/>
  <c r="T83" i="8"/>
  <c r="S83" i="8" s="1"/>
  <c r="AP116" i="8"/>
  <c r="AO116" i="8" s="1"/>
  <c r="T85" i="8"/>
  <c r="S85" i="8" s="1"/>
  <c r="E101" i="8"/>
  <c r="D101" i="8" s="1"/>
  <c r="Z78" i="8"/>
  <c r="Y78" i="8" s="1"/>
  <c r="AN86" i="8"/>
  <c r="AM86" i="8" s="1"/>
  <c r="AB84" i="8"/>
  <c r="AA84" i="8" s="1"/>
  <c r="AP102" i="8"/>
  <c r="AO102" i="8" s="1"/>
  <c r="AJ66" i="8"/>
  <c r="AI66" i="8" s="1"/>
  <c r="AJ116" i="8"/>
  <c r="AI116" i="8" s="1"/>
  <c r="Z74" i="8"/>
  <c r="Y74" i="8" s="1"/>
  <c r="AN98" i="8"/>
  <c r="AM98" i="8" s="1"/>
  <c r="AN63" i="8"/>
  <c r="AM63" i="8" s="1"/>
  <c r="T84" i="8"/>
  <c r="S84" i="8" s="1"/>
  <c r="T78" i="8"/>
  <c r="S78" i="8" s="1"/>
  <c r="AN109" i="8"/>
  <c r="AM109" i="8" s="1"/>
  <c r="Z73" i="8"/>
  <c r="Y73" i="8" s="1"/>
  <c r="E103" i="8"/>
  <c r="D103" i="8" s="1"/>
  <c r="Z107" i="8"/>
  <c r="Y107" i="8" s="1"/>
  <c r="AB127" i="8"/>
  <c r="AA127" i="8" s="1"/>
  <c r="Z114" i="8"/>
  <c r="Y114" i="8" s="1"/>
  <c r="AN61" i="8"/>
  <c r="AM61" i="8" s="1"/>
  <c r="E118" i="8"/>
  <c r="D118" i="8" s="1"/>
  <c r="AN106" i="8"/>
  <c r="AM106" i="8" s="1"/>
  <c r="AB101" i="8"/>
  <c r="AA101" i="8" s="1"/>
  <c r="AJ77" i="8"/>
  <c r="AI77" i="8" s="1"/>
  <c r="AJ103" i="8"/>
  <c r="AI103" i="8" s="1"/>
  <c r="E127" i="8"/>
  <c r="D127" i="8" s="1"/>
  <c r="T109" i="8"/>
  <c r="S109" i="8" s="1"/>
  <c r="T64" i="8"/>
  <c r="S64" i="8" s="1"/>
  <c r="AJ61" i="8"/>
  <c r="AI61" i="8" s="1"/>
  <c r="AJ86" i="8"/>
  <c r="AI86" i="8" s="1"/>
  <c r="AB107" i="8"/>
  <c r="AA107" i="8" s="1"/>
  <c r="T101" i="8"/>
  <c r="S101" i="8" s="1"/>
  <c r="E73" i="8"/>
  <c r="D73" i="8" s="1"/>
  <c r="AN83" i="8"/>
  <c r="AM83" i="8" s="1"/>
  <c r="AN117" i="8"/>
  <c r="AM117" i="8" s="1"/>
  <c r="AJ78" i="8"/>
  <c r="AI78" i="8" s="1"/>
  <c r="AN78" i="8"/>
  <c r="AM78" i="8" s="1"/>
  <c r="T86" i="8"/>
  <c r="S86" i="8" s="1"/>
  <c r="Z66" i="8"/>
  <c r="Y66" i="8" s="1"/>
  <c r="Z127" i="8"/>
  <c r="Y127" i="8" s="1"/>
  <c r="E85" i="8"/>
  <c r="D85" i="8" s="1"/>
  <c r="T74" i="8"/>
  <c r="S74" i="8" s="1"/>
  <c r="AP106" i="8"/>
  <c r="AO106" i="8" s="1"/>
  <c r="Z83" i="8"/>
  <c r="Y83" i="8" s="1"/>
  <c r="T114" i="8"/>
  <c r="S114" i="8" s="1"/>
  <c r="E109" i="8"/>
  <c r="D109" i="8" s="1"/>
  <c r="T107" i="8"/>
  <c r="S107" i="8" s="1"/>
  <c r="AP107" i="8"/>
  <c r="AO107" i="8" s="1"/>
  <c r="AJ88" i="8"/>
  <c r="AI88" i="8" s="1"/>
  <c r="AJ73" i="8"/>
  <c r="AI73" i="8" s="1"/>
  <c r="AN118" i="8"/>
  <c r="AM118" i="8" s="1"/>
  <c r="AN114" i="8"/>
  <c r="AM114" i="8" s="1"/>
  <c r="E81" i="8"/>
  <c r="D81" i="8" s="1"/>
  <c r="AB75" i="8"/>
  <c r="AA75" i="8" s="1"/>
  <c r="AB109" i="8"/>
  <c r="AA109" i="8" s="1"/>
  <c r="AN81" i="8"/>
  <c r="AM81" i="8" s="1"/>
  <c r="AJ76" i="8"/>
  <c r="AI76" i="8" s="1"/>
  <c r="AJ127" i="8"/>
  <c r="AI127" i="8" s="1"/>
  <c r="AJ117" i="8"/>
  <c r="AI117" i="8" s="1"/>
  <c r="E76" i="8"/>
  <c r="D76" i="8" s="1"/>
  <c r="AJ109" i="8"/>
  <c r="AI109" i="8" s="1"/>
  <c r="AJ118" i="8"/>
  <c r="AI118" i="8" s="1"/>
  <c r="AB76" i="8"/>
  <c r="AA76" i="8" s="1"/>
  <c r="AX88" i="8"/>
  <c r="AW88" i="8" s="1"/>
  <c r="AV60" i="8"/>
  <c r="AU60" i="8" s="1"/>
  <c r="AV73" i="8"/>
  <c r="AU73" i="8" s="1"/>
  <c r="AV74" i="8"/>
  <c r="AU74" i="8" s="1"/>
  <c r="AV101" i="8"/>
  <c r="AU101" i="8" s="1"/>
  <c r="AV127" i="8"/>
  <c r="AU127" i="8" s="1"/>
  <c r="AV100" i="8"/>
  <c r="AU100" i="8" s="1"/>
  <c r="AV99" i="8"/>
  <c r="AU99" i="8" s="1"/>
  <c r="AV77" i="8"/>
  <c r="AU77" i="8" s="1"/>
  <c r="AD101" i="8"/>
  <c r="AC101" i="8" s="1"/>
  <c r="AD109" i="8"/>
  <c r="AC109" i="8" s="1"/>
  <c r="AD64" i="8"/>
  <c r="AC64" i="8" s="1"/>
  <c r="AD73" i="8"/>
  <c r="AC73" i="8" s="1"/>
  <c r="AD88" i="8"/>
  <c r="AC88" i="8" s="1"/>
  <c r="AD81" i="8"/>
  <c r="AC81" i="8" s="1"/>
  <c r="AD98" i="8"/>
  <c r="AC98" i="8" s="1"/>
  <c r="AD102" i="8"/>
  <c r="AC102" i="8" s="1"/>
  <c r="AD83" i="8"/>
  <c r="AC83" i="8" s="1"/>
  <c r="AD78" i="8"/>
  <c r="AC78" i="8" s="1"/>
  <c r="AD66" i="8"/>
  <c r="AC66" i="8" s="1"/>
  <c r="AD75" i="8"/>
  <c r="AC75" i="8" s="1"/>
  <c r="R86" i="8"/>
  <c r="Q86" i="8" s="1"/>
  <c r="R85" i="8"/>
  <c r="Q85" i="8" s="1"/>
  <c r="R118" i="8"/>
  <c r="Q118" i="8" s="1"/>
  <c r="R101" i="8"/>
  <c r="Q101" i="8" s="1"/>
  <c r="R127" i="8"/>
  <c r="Q127" i="8" s="1"/>
  <c r="R114" i="8"/>
  <c r="Q114" i="8" s="1"/>
  <c r="R66" i="8"/>
  <c r="Q66" i="8" s="1"/>
  <c r="R77" i="8"/>
  <c r="Q77" i="8" s="1"/>
  <c r="R109" i="8"/>
  <c r="Q109" i="8" s="1"/>
  <c r="R84" i="8"/>
  <c r="Q84" i="8" s="1"/>
  <c r="AD115" i="8"/>
  <c r="AC115" i="8" s="1"/>
  <c r="AD103" i="8"/>
  <c r="AC103" i="8" s="1"/>
  <c r="AD127" i="8"/>
  <c r="AC127" i="8" s="1"/>
  <c r="AD118" i="8"/>
  <c r="AC118" i="8" s="1"/>
  <c r="AD82" i="8"/>
  <c r="AC82" i="8" s="1"/>
  <c r="AD100" i="8"/>
  <c r="AC100" i="8" s="1"/>
  <c r="R75" i="8"/>
  <c r="Q75" i="8" s="1"/>
  <c r="R88" i="8"/>
  <c r="Q88" i="8" s="1"/>
  <c r="R116" i="8"/>
  <c r="Q116" i="8" s="1"/>
  <c r="R76" i="8"/>
  <c r="Q76" i="8" s="1"/>
  <c r="AJ59" i="8"/>
  <c r="AI59" i="8" s="1"/>
  <c r="AB106" i="8"/>
  <c r="AA106" i="8" s="1"/>
  <c r="AB118" i="8"/>
  <c r="AA118" i="8" s="1"/>
  <c r="AJ98" i="8"/>
  <c r="AI98" i="8" s="1"/>
  <c r="E114" i="8"/>
  <c r="D114" i="8" s="1"/>
  <c r="AN82" i="8"/>
  <c r="AM82" i="8" s="1"/>
  <c r="AP76" i="8"/>
  <c r="AO76" i="8" s="1"/>
  <c r="AN85" i="8"/>
  <c r="AM85" i="8" s="1"/>
  <c r="AN88" i="8"/>
  <c r="AM88" i="8" s="1"/>
  <c r="T98" i="8"/>
  <c r="S98" i="8" s="1"/>
  <c r="E106" i="8"/>
  <c r="D106" i="8" s="1"/>
  <c r="AP117" i="8"/>
  <c r="AO117" i="8" s="1"/>
  <c r="AB81" i="8"/>
  <c r="AA81" i="8" s="1"/>
  <c r="AN74" i="8"/>
  <c r="AM74" i="8" s="1"/>
  <c r="AP99" i="8"/>
  <c r="AO99" i="8" s="1"/>
  <c r="AP78" i="8"/>
  <c r="AO78" i="8" s="1"/>
  <c r="AJ60" i="8"/>
  <c r="AI60" i="8" s="1"/>
  <c r="AV123" i="8"/>
  <c r="AU123" i="8" s="1"/>
  <c r="AU121" i="8" s="1"/>
  <c r="P15" i="9" s="1"/>
  <c r="AD123" i="8"/>
  <c r="AC123" i="8" s="1"/>
  <c r="AC121" i="8" s="1"/>
  <c r="I15" i="9" s="1"/>
  <c r="E83" i="8"/>
  <c r="D83" i="8" s="1"/>
  <c r="T76" i="8"/>
  <c r="S76" i="8" s="1"/>
  <c r="AP81" i="8"/>
  <c r="AO81" i="8" s="1"/>
  <c r="AP114" i="8"/>
  <c r="AO114" i="8" s="1"/>
  <c r="AJ81" i="8"/>
  <c r="AI81" i="8" s="1"/>
  <c r="AJ115" i="8"/>
  <c r="AI115" i="8" s="1"/>
  <c r="AB88" i="8"/>
  <c r="AA88" i="8" s="1"/>
  <c r="AB100" i="8"/>
  <c r="AA100" i="8" s="1"/>
  <c r="E60" i="8"/>
  <c r="D60" i="8" s="1"/>
  <c r="Z118" i="8"/>
  <c r="Y118" i="8" s="1"/>
  <c r="AP77" i="8"/>
  <c r="AO77" i="8" s="1"/>
  <c r="AP60" i="8"/>
  <c r="AO60" i="8" s="1"/>
  <c r="E98" i="8"/>
  <c r="D98" i="8" s="1"/>
  <c r="AB114" i="8"/>
  <c r="AA114" i="8" s="1"/>
  <c r="T118" i="8"/>
  <c r="S118" i="8" s="1"/>
  <c r="AJ82" i="8"/>
  <c r="AI82" i="8" s="1"/>
  <c r="T66" i="8"/>
  <c r="S66" i="8" s="1"/>
  <c r="AP82" i="8"/>
  <c r="AO82" i="8" s="1"/>
  <c r="AB117" i="8"/>
  <c r="AA117" i="8" s="1"/>
  <c r="Z64" i="8"/>
  <c r="Y64" i="8" s="1"/>
  <c r="AP74" i="8"/>
  <c r="AO74" i="8" s="1"/>
  <c r="Z106" i="8"/>
  <c r="Y106" i="8" s="1"/>
  <c r="T106" i="8"/>
  <c r="S106" i="8" s="1"/>
  <c r="Z76" i="8"/>
  <c r="Y76" i="8" s="1"/>
  <c r="AP98" i="8"/>
  <c r="AO98" i="8" s="1"/>
  <c r="E66" i="8"/>
  <c r="D66" i="8" s="1"/>
  <c r="AN102" i="8"/>
  <c r="AM102" i="8" s="1"/>
  <c r="AP75" i="8"/>
  <c r="AO75" i="8" s="1"/>
  <c r="E61" i="8"/>
  <c r="D61" i="8" s="1"/>
  <c r="AB83" i="8"/>
  <c r="AA83" i="8" s="1"/>
  <c r="Z116" i="8"/>
  <c r="Y116" i="8" s="1"/>
  <c r="T103" i="8"/>
  <c r="S103" i="8" s="1"/>
  <c r="AP83" i="8"/>
  <c r="AO83" i="8" s="1"/>
  <c r="E84" i="8"/>
  <c r="D84" i="8" s="1"/>
  <c r="Z77" i="8"/>
  <c r="Y77" i="8" s="1"/>
  <c r="Z101" i="8"/>
  <c r="Y101" i="8" s="1"/>
  <c r="Z123" i="8"/>
  <c r="Y123" i="8" s="1"/>
  <c r="Z115" i="8"/>
  <c r="Y115" i="8" s="1"/>
  <c r="AX106" i="8"/>
  <c r="AW106" i="8" s="1"/>
  <c r="AX74" i="8"/>
  <c r="AW74" i="8" s="1"/>
  <c r="AX101" i="8"/>
  <c r="AW101" i="8" s="1"/>
  <c r="AX78" i="8"/>
  <c r="AW78" i="8" s="1"/>
  <c r="AX76" i="8"/>
  <c r="AW76" i="8" s="1"/>
  <c r="AX98" i="8"/>
  <c r="AW98" i="8" s="1"/>
  <c r="AX109" i="8"/>
  <c r="AW109" i="8" s="1"/>
  <c r="AX123" i="8"/>
  <c r="AW123" i="8" s="1"/>
  <c r="AW121" i="8" s="1"/>
  <c r="Q15" i="9" s="1"/>
  <c r="AD63" i="8"/>
  <c r="AC63" i="8" s="1"/>
  <c r="AC62" i="8" s="1"/>
  <c r="I14" i="9" s="1"/>
  <c r="R123" i="8"/>
  <c r="Q123" i="8" s="1"/>
  <c r="Q121" i="8" s="1"/>
  <c r="E15" i="9" s="1"/>
  <c r="AP123" i="8"/>
  <c r="AO123" i="8" s="1"/>
  <c r="AO121" i="8" s="1"/>
  <c r="N15" i="9" s="1"/>
  <c r="AJ102" i="8"/>
  <c r="AI102" i="8" s="1"/>
  <c r="Z75" i="8"/>
  <c r="Y75" i="8" s="1"/>
  <c r="E88" i="8"/>
  <c r="D88" i="8" s="1"/>
  <c r="AJ106" i="8"/>
  <c r="AI106" i="8" s="1"/>
  <c r="AJ64" i="8"/>
  <c r="AI64" i="8" s="1"/>
  <c r="AB85" i="8"/>
  <c r="AA85" i="8" s="1"/>
  <c r="T77" i="8"/>
  <c r="S77" i="8" s="1"/>
  <c r="AP103" i="8"/>
  <c r="AO103" i="8" s="1"/>
  <c r="AB123" i="8"/>
  <c r="AA123" i="8" s="1"/>
  <c r="AP85" i="8"/>
  <c r="AO85" i="8" s="1"/>
  <c r="T61" i="8"/>
  <c r="S61" i="8" s="1"/>
  <c r="AJ101" i="8"/>
  <c r="AI101" i="8" s="1"/>
  <c r="AN66" i="8"/>
  <c r="AM66" i="8" s="1"/>
  <c r="AN73" i="8"/>
  <c r="AM73" i="8" s="1"/>
  <c r="AN77" i="8"/>
  <c r="AM77" i="8" s="1"/>
  <c r="AP64" i="8"/>
  <c r="AO64" i="8" s="1"/>
  <c r="AP59" i="8"/>
  <c r="AO59" i="8" s="1"/>
  <c r="AO58" i="8" s="1"/>
  <c r="N12" i="9" s="1"/>
  <c r="AP127" i="8"/>
  <c r="AO127" i="8" s="1"/>
  <c r="T73" i="8"/>
  <c r="S73" i="8" s="1"/>
  <c r="AN100" i="8"/>
  <c r="AM100" i="8" s="1"/>
  <c r="T117" i="8"/>
  <c r="S117" i="8" s="1"/>
  <c r="AV63" i="8"/>
  <c r="AU63" i="8" s="1"/>
  <c r="AU62" i="8" s="1"/>
  <c r="P14" i="9" s="1"/>
  <c r="Z86" i="8"/>
  <c r="Y86" i="8" s="1"/>
  <c r="AJ123" i="8"/>
  <c r="AI123" i="8" s="1"/>
  <c r="AI121" i="8" s="1"/>
  <c r="K15" i="9" s="1"/>
  <c r="AN123" i="8"/>
  <c r="AM123" i="8" s="1"/>
  <c r="AM121" i="8" s="1"/>
  <c r="M15" i="9" s="1"/>
  <c r="AN116" i="8"/>
  <c r="AM116" i="8" s="1"/>
  <c r="AN76" i="8"/>
  <c r="AM76" i="8" s="1"/>
  <c r="AB64" i="8"/>
  <c r="AA64" i="8" s="1"/>
  <c r="Z102" i="8"/>
  <c r="Y102" i="8" s="1"/>
  <c r="AX127" i="8"/>
  <c r="AW127" i="8" s="1"/>
  <c r="AX64" i="8"/>
  <c r="AW64" i="8" s="1"/>
  <c r="AJ114" i="8"/>
  <c r="AI114" i="8" s="1"/>
  <c r="AP115" i="8"/>
  <c r="AO115" i="8" s="1"/>
  <c r="AJ63" i="8"/>
  <c r="AI63" i="8" s="1"/>
  <c r="AB63" i="8"/>
  <c r="AA63" i="8" s="1"/>
  <c r="AA62" i="8" s="1"/>
  <c r="H14" i="9" s="1"/>
  <c r="Z63" i="8"/>
  <c r="Y63" i="8" s="1"/>
  <c r="Y62" i="8" s="1"/>
  <c r="G14" i="9" s="1"/>
  <c r="T123" i="8"/>
  <c r="S123" i="8" s="1"/>
  <c r="S121" i="8" s="1"/>
  <c r="F15" i="9" s="1"/>
  <c r="E125" i="8"/>
  <c r="D125" i="8" s="1"/>
  <c r="D124" i="8" s="1"/>
  <c r="AP125" i="8"/>
  <c r="AO125" i="8" s="1"/>
  <c r="AO124" i="8" s="1"/>
  <c r="AB122" i="8"/>
  <c r="AA122" i="8" s="1"/>
  <c r="E123" i="8"/>
  <c r="D123" i="8" s="1"/>
  <c r="D121" i="8" s="1"/>
  <c r="C15" i="9" s="1"/>
  <c r="T81" i="8"/>
  <c r="S81" i="8" s="1"/>
  <c r="Z61" i="8"/>
  <c r="Y61" i="8" s="1"/>
  <c r="E117" i="8"/>
  <c r="D117" i="8" s="1"/>
  <c r="AN103" i="8"/>
  <c r="AM103" i="8" s="1"/>
  <c r="E77" i="8"/>
  <c r="D77" i="8" s="1"/>
  <c r="Z109" i="8"/>
  <c r="Y109" i="8" s="1"/>
  <c r="AN60" i="8"/>
  <c r="AM60" i="8" s="1"/>
  <c r="Z103" i="8"/>
  <c r="Y103" i="8" s="1"/>
  <c r="E86" i="8"/>
  <c r="D86" i="8" s="1"/>
  <c r="Z117" i="8"/>
  <c r="Y117" i="8" s="1"/>
  <c r="AJ107" i="8"/>
  <c r="AI107" i="8" s="1"/>
  <c r="E82" i="8"/>
  <c r="D82" i="8" s="1"/>
  <c r="T116" i="8"/>
  <c r="S116" i="8" s="1"/>
  <c r="Z122" i="8"/>
  <c r="Y122" i="8" s="1"/>
  <c r="Y121" i="8" s="1"/>
  <c r="G15" i="9" s="1"/>
  <c r="AX84" i="8"/>
  <c r="AW84" i="8" s="1"/>
  <c r="AX75" i="8"/>
  <c r="AW75" i="8" s="1"/>
  <c r="AX82" i="8"/>
  <c r="AW82" i="8" s="1"/>
  <c r="AX107" i="8"/>
  <c r="AW107" i="8" s="1"/>
  <c r="T59" i="8"/>
  <c r="S59" i="8" s="1"/>
  <c r="S58" i="8" s="1"/>
  <c r="F12" i="9" s="1"/>
  <c r="E63" i="8"/>
  <c r="D63" i="8" s="1"/>
  <c r="D62" i="8" s="1"/>
  <c r="C14" i="9" s="1"/>
  <c r="AP63" i="8"/>
  <c r="AO63" i="8" s="1"/>
  <c r="AO62" i="8" s="1"/>
  <c r="N14" i="9" s="1"/>
  <c r="AJ100" i="8"/>
  <c r="AI100" i="8" s="1"/>
  <c r="AB61" i="8"/>
  <c r="AA61" i="8" s="1"/>
  <c r="E102" i="8"/>
  <c r="D102" i="8" s="1"/>
  <c r="AN101" i="8"/>
  <c r="AM101" i="8" s="1"/>
  <c r="T99" i="8"/>
  <c r="S99" i="8" s="1"/>
  <c r="AN107" i="8"/>
  <c r="AM107" i="8" s="1"/>
  <c r="Z81" i="8"/>
  <c r="Y81" i="8" s="1"/>
  <c r="AX115" i="8"/>
  <c r="AW115" i="8" s="1"/>
  <c r="AX99" i="8"/>
  <c r="AW99" i="8" s="1"/>
  <c r="E78" i="8"/>
  <c r="D78" i="8" s="1"/>
  <c r="AJ99" i="8"/>
  <c r="AI99" i="8" s="1"/>
  <c r="AP109" i="8"/>
  <c r="AO109" i="8" s="1"/>
  <c r="T63" i="8"/>
  <c r="S63" i="8" s="1"/>
  <c r="S62" i="8" s="1"/>
  <c r="F14" i="9" s="1"/>
  <c r="E97" i="8"/>
  <c r="D97" i="8" s="1"/>
  <c r="BJ97" i="8" s="1"/>
  <c r="R59" i="8"/>
  <c r="Q59" i="8" s="1"/>
  <c r="Q58" i="8" s="1"/>
  <c r="E12" i="9" s="1"/>
  <c r="AD59" i="8"/>
  <c r="AC59" i="8" s="1"/>
  <c r="AC58" i="8" s="1"/>
  <c r="I12" i="9" s="1"/>
  <c r="P91" i="8"/>
  <c r="O91" i="8" s="1"/>
  <c r="AV91" i="8"/>
  <c r="AU91" i="8" s="1"/>
  <c r="R63" i="8"/>
  <c r="Q63" i="8" s="1"/>
  <c r="Q62" i="8" s="1"/>
  <c r="E14" i="9" s="1"/>
  <c r="AX63" i="8"/>
  <c r="AW63" i="8" s="1"/>
  <c r="AW62" i="8" s="1"/>
  <c r="Q14" i="9" s="1"/>
  <c r="AV125" i="8"/>
  <c r="AU125" i="8" s="1"/>
  <c r="AU124" i="8" s="1"/>
  <c r="E91" i="8"/>
  <c r="D91" i="8" s="1"/>
  <c r="P123" i="8"/>
  <c r="O123" i="8" s="1"/>
  <c r="O121" i="8" s="1"/>
  <c r="D15" i="9" s="1"/>
  <c r="P63" i="8"/>
  <c r="O63" i="8" s="1"/>
  <c r="O62" i="8" s="1"/>
  <c r="D14" i="9" s="1"/>
  <c r="P59" i="8"/>
  <c r="O59" i="8" s="1"/>
  <c r="T125" i="8"/>
  <c r="S125" i="8" s="1"/>
  <c r="S124" i="8" s="1"/>
  <c r="T91" i="8"/>
  <c r="S91" i="8" s="1"/>
  <c r="Z125" i="8"/>
  <c r="Y125" i="8" s="1"/>
  <c r="Y124" i="8" s="1"/>
  <c r="Z91" i="8"/>
  <c r="Y91" i="8" s="1"/>
  <c r="R91" i="8"/>
  <c r="Q91" i="8" s="1"/>
  <c r="E59" i="8"/>
  <c r="D59" i="8" s="1"/>
  <c r="D58" i="8" s="1"/>
  <c r="C12" i="9" s="1"/>
  <c r="AJ91" i="8"/>
  <c r="AI91" i="8" s="1"/>
  <c r="R125" i="8"/>
  <c r="Q125" i="8" s="1"/>
  <c r="Q124" i="8" s="1"/>
  <c r="AD125" i="8"/>
  <c r="AC125" i="8" s="1"/>
  <c r="AC124" i="8" s="1"/>
  <c r="AN59" i="8"/>
  <c r="AM59" i="8" s="1"/>
  <c r="AM58" i="8" s="1"/>
  <c r="M12" i="9" s="1"/>
  <c r="AB59" i="8"/>
  <c r="AA59" i="8" s="1"/>
  <c r="AA58" i="8" s="1"/>
  <c r="H12" i="9" s="1"/>
  <c r="AX125" i="8"/>
  <c r="AW125" i="8" s="1"/>
  <c r="AW124" i="8" s="1"/>
  <c r="AX91" i="8"/>
  <c r="AW91" i="8" s="1"/>
  <c r="AX59" i="8"/>
  <c r="AW59" i="8" s="1"/>
  <c r="AW58" i="8" s="1"/>
  <c r="Q12" i="9" s="1"/>
  <c r="P125" i="8"/>
  <c r="O125" i="8" s="1"/>
  <c r="O124" i="8" s="1"/>
  <c r="AN91" i="8"/>
  <c r="AM91" i="8" s="1"/>
  <c r="AD91" i="8"/>
  <c r="AC91" i="8" s="1"/>
  <c r="AB91" i="8"/>
  <c r="AA91" i="8" s="1"/>
  <c r="AP91" i="8"/>
  <c r="AO91" i="8" s="1"/>
  <c r="AJ125" i="8"/>
  <c r="AI125" i="8" s="1"/>
  <c r="AI124" i="8" s="1"/>
  <c r="AB125" i="8"/>
  <c r="AA125" i="8" s="1"/>
  <c r="AA124" i="8" s="1"/>
  <c r="AN125" i="8"/>
  <c r="AM125" i="8" s="1"/>
  <c r="AM124" i="8" s="1"/>
  <c r="AV59" i="8"/>
  <c r="AU59" i="8" s="1"/>
  <c r="AU58" i="8" s="1"/>
  <c r="P12" i="9" s="1"/>
  <c r="Z59" i="8"/>
  <c r="Y59" i="8" s="1"/>
  <c r="Y58" i="8" s="1"/>
  <c r="G12" i="9" s="1"/>
  <c r="C6" i="8"/>
  <c r="BO22" i="6"/>
  <c r="CA22" i="6"/>
  <c r="F23" i="8"/>
  <c r="B23" i="8" s="1"/>
  <c r="T23" i="6"/>
  <c r="O23" i="6" s="1"/>
  <c r="G23" i="6"/>
  <c r="K23" i="8" s="1"/>
  <c r="M22" i="8"/>
  <c r="BA19" i="15"/>
  <c r="I6" i="6"/>
  <c r="BK25" i="8"/>
  <c r="BL25" i="8" s="1"/>
  <c r="BJ25" i="8"/>
  <c r="AH6" i="8"/>
  <c r="E101" i="6"/>
  <c r="V109" i="8"/>
  <c r="K112" i="6"/>
  <c r="U109" i="8" s="1"/>
  <c r="BH22" i="6"/>
  <c r="V84" i="8"/>
  <c r="K87" i="6"/>
  <c r="U84" i="8" s="1"/>
  <c r="V63" i="8"/>
  <c r="K66" i="6"/>
  <c r="AV60" i="15"/>
  <c r="G63" i="8"/>
  <c r="U66" i="6"/>
  <c r="B66" i="6"/>
  <c r="AR6" i="15"/>
  <c r="V123" i="8"/>
  <c r="K126" i="6"/>
  <c r="H6" i="8"/>
  <c r="AV6" i="15"/>
  <c r="C121" i="6"/>
  <c r="C78" i="6"/>
  <c r="H78" i="6" s="1"/>
  <c r="C130" i="6"/>
  <c r="C79" i="6"/>
  <c r="C63" i="6"/>
  <c r="C117" i="6"/>
  <c r="C80" i="6"/>
  <c r="C110" i="6"/>
  <c r="C119" i="6"/>
  <c r="C64" i="6"/>
  <c r="C67" i="6"/>
  <c r="C69" i="6"/>
  <c r="C103" i="6"/>
  <c r="C87" i="6"/>
  <c r="C86" i="6"/>
  <c r="C76" i="6"/>
  <c r="C126" i="6"/>
  <c r="C84" i="6"/>
  <c r="C85" i="6"/>
  <c r="C81" i="6"/>
  <c r="C109" i="6"/>
  <c r="H109" i="6" s="1"/>
  <c r="C120" i="6"/>
  <c r="C91" i="6"/>
  <c r="C112" i="6"/>
  <c r="C77" i="6"/>
  <c r="H77" i="6" s="1"/>
  <c r="C62" i="6"/>
  <c r="C113" i="6"/>
  <c r="C122" i="6"/>
  <c r="C107" i="6"/>
  <c r="C106" i="6"/>
  <c r="C88" i="6"/>
  <c r="C102" i="6"/>
  <c r="C101" i="6"/>
  <c r="C118" i="6"/>
  <c r="C89" i="6"/>
  <c r="C105" i="6"/>
  <c r="C104" i="6"/>
  <c r="C94" i="6"/>
  <c r="C128" i="6"/>
  <c r="T27" i="6"/>
  <c r="AQ27" i="8"/>
  <c r="O27" i="6"/>
  <c r="BX27" i="6"/>
  <c r="BY27" i="6" s="1"/>
  <c r="S22" i="8"/>
  <c r="S6" i="8" s="1"/>
  <c r="F11" i="9" s="1"/>
  <c r="Q22" i="8"/>
  <c r="Q6" i="8" s="1"/>
  <c r="E11" i="9" s="1"/>
  <c r="O22" i="8"/>
  <c r="O6" i="8" s="1"/>
  <c r="D11" i="9" s="1"/>
  <c r="J91" i="8"/>
  <c r="H94" i="6"/>
  <c r="AX88" i="15"/>
  <c r="E94" i="6"/>
  <c r="BD65" i="6"/>
  <c r="V78" i="8"/>
  <c r="K81" i="6"/>
  <c r="U78" i="8" s="1"/>
  <c r="K84" i="6"/>
  <c r="U81" i="8" s="1"/>
  <c r="V81" i="8"/>
  <c r="V83" i="8"/>
  <c r="K86" i="6"/>
  <c r="U83" i="8" s="1"/>
  <c r="V116" i="8"/>
  <c r="K119" i="6"/>
  <c r="U116" i="8" s="1"/>
  <c r="V64" i="8"/>
  <c r="K67" i="6"/>
  <c r="U64" i="8" s="1"/>
  <c r="AX82" i="15"/>
  <c r="J85" i="8"/>
  <c r="H88" i="6"/>
  <c r="E88" i="6"/>
  <c r="AX113" i="15"/>
  <c r="J117" i="8"/>
  <c r="H120" i="6"/>
  <c r="E120" i="6"/>
  <c r="AX97" i="15"/>
  <c r="J101" i="8"/>
  <c r="H104" i="6"/>
  <c r="E104" i="6"/>
  <c r="V59" i="8"/>
  <c r="K62" i="6"/>
  <c r="V66" i="8"/>
  <c r="K69" i="6"/>
  <c r="U66" i="8" s="1"/>
  <c r="V77" i="8"/>
  <c r="K80" i="6"/>
  <c r="U77" i="8" s="1"/>
  <c r="V127" i="8"/>
  <c r="K130" i="6"/>
  <c r="U127" i="8" s="1"/>
  <c r="V88" i="8"/>
  <c r="K91" i="6"/>
  <c r="U88" i="8" s="1"/>
  <c r="AK127" i="6"/>
  <c r="AQ128" i="6"/>
  <c r="AQ81" i="6"/>
  <c r="T75" i="15" s="1"/>
  <c r="AX60" i="15"/>
  <c r="J63" i="8"/>
  <c r="E66" i="6"/>
  <c r="H66" i="6"/>
  <c r="AX81" i="15"/>
  <c r="J84" i="8"/>
  <c r="H87" i="6"/>
  <c r="E87" i="6"/>
  <c r="AQ102" i="6"/>
  <c r="J114" i="8"/>
  <c r="AX111" i="15"/>
  <c r="H117" i="6"/>
  <c r="E117" i="6"/>
  <c r="J82" i="8"/>
  <c r="AX79" i="15"/>
  <c r="E85" i="6"/>
  <c r="H85" i="6"/>
  <c r="AH127" i="6"/>
  <c r="AH131" i="6" s="1"/>
  <c r="J61" i="8"/>
  <c r="AX58" i="15"/>
  <c r="H64" i="6"/>
  <c r="E64" i="6"/>
  <c r="BE121" i="15"/>
  <c r="BD125" i="8"/>
  <c r="Q128" i="6"/>
  <c r="J83" i="8"/>
  <c r="H86" i="6"/>
  <c r="AX80" i="15"/>
  <c r="E86" i="6"/>
  <c r="J107" i="8"/>
  <c r="H110" i="6"/>
  <c r="AX104" i="15"/>
  <c r="E110" i="6"/>
  <c r="AQ79" i="6"/>
  <c r="T73" i="15" s="1"/>
  <c r="J73" i="8"/>
  <c r="AX70" i="15"/>
  <c r="H76" i="6"/>
  <c r="E76" i="6"/>
  <c r="V86" i="8"/>
  <c r="K89" i="6"/>
  <c r="U86" i="8" s="1"/>
  <c r="H63" i="6"/>
  <c r="AZ57" i="15" s="1"/>
  <c r="AX57" i="15"/>
  <c r="E63" i="6"/>
  <c r="AK71" i="6"/>
  <c r="AK131" i="6" s="1"/>
  <c r="AX98" i="15"/>
  <c r="J102" i="8"/>
  <c r="H105" i="6"/>
  <c r="E105" i="6"/>
  <c r="AQ112" i="6"/>
  <c r="T109" i="15" s="1"/>
  <c r="J127" i="8"/>
  <c r="AX122" i="15"/>
  <c r="H130" i="6"/>
  <c r="E130" i="6"/>
  <c r="AX83" i="15"/>
  <c r="J86" i="8"/>
  <c r="H89" i="6"/>
  <c r="E89" i="6"/>
  <c r="AQ86" i="6"/>
  <c r="T80" i="15" s="1"/>
  <c r="AQ76" i="6"/>
  <c r="Y71" i="6"/>
  <c r="AX99" i="15"/>
  <c r="J103" i="8"/>
  <c r="H106" i="6"/>
  <c r="E106" i="6"/>
  <c r="J64" i="8"/>
  <c r="AX61" i="15"/>
  <c r="H67" i="6"/>
  <c r="E67" i="6"/>
  <c r="AZ107" i="8"/>
  <c r="BD107" i="8"/>
  <c r="BE104" i="15"/>
  <c r="Q110" i="6"/>
  <c r="AX96" i="15"/>
  <c r="J100" i="8"/>
  <c r="E103" i="6"/>
  <c r="H103" i="6"/>
  <c r="BE111" i="15"/>
  <c r="AZ114" i="8"/>
  <c r="BD114" i="8"/>
  <c r="Q117" i="6"/>
  <c r="AZ88" i="8"/>
  <c r="BE85" i="15"/>
  <c r="BD88" i="8"/>
  <c r="Q91" i="6"/>
  <c r="BD117" i="8"/>
  <c r="BE113" i="15"/>
  <c r="AZ117" i="8"/>
  <c r="Q120" i="6"/>
  <c r="AZ61" i="8"/>
  <c r="BE58" i="15"/>
  <c r="BD61" i="8"/>
  <c r="Q64" i="6"/>
  <c r="BE61" i="15"/>
  <c r="AZ64" i="8"/>
  <c r="BD64" i="8"/>
  <c r="Q67" i="6"/>
  <c r="BE79" i="15"/>
  <c r="AZ82" i="8"/>
  <c r="BD82" i="8"/>
  <c r="Q85" i="6"/>
  <c r="AZ74" i="8"/>
  <c r="BD74" i="8"/>
  <c r="BE71" i="15"/>
  <c r="Q77" i="6"/>
  <c r="BD83" i="8"/>
  <c r="AZ83" i="8"/>
  <c r="BE80" i="15"/>
  <c r="Q86" i="6"/>
  <c r="BD127" i="8"/>
  <c r="BE122" i="15"/>
  <c r="Q130" i="6"/>
  <c r="BD76" i="8"/>
  <c r="BE73" i="15"/>
  <c r="AZ76" i="8"/>
  <c r="Q79" i="6"/>
  <c r="AQ80" i="6"/>
  <c r="T74" i="15" s="1"/>
  <c r="AZ73" i="8"/>
  <c r="BE70" i="15"/>
  <c r="BD73" i="8"/>
  <c r="Q76" i="6"/>
  <c r="AZ86" i="8"/>
  <c r="BD86" i="8"/>
  <c r="BE83" i="15"/>
  <c r="Q89" i="6"/>
  <c r="Q69" i="6"/>
  <c r="AY66" i="8" s="1"/>
  <c r="AZ66" i="8"/>
  <c r="BD78" i="8"/>
  <c r="AZ78" i="8"/>
  <c r="BE75" i="15"/>
  <c r="Q81" i="6"/>
  <c r="AZ98" i="8"/>
  <c r="Q101" i="6"/>
  <c r="AY98" i="8" s="1"/>
  <c r="AZ101" i="8"/>
  <c r="BD101" i="8"/>
  <c r="BE97" i="15"/>
  <c r="Q104" i="6"/>
  <c r="V91" i="8"/>
  <c r="K94" i="6"/>
  <c r="V114" i="8"/>
  <c r="K117" i="6"/>
  <c r="U114" i="8" s="1"/>
  <c r="Y124" i="6"/>
  <c r="AQ126" i="6"/>
  <c r="AL22" i="8"/>
  <c r="AT22" i="8" s="1"/>
  <c r="AQ23" i="8"/>
  <c r="BX25" i="6"/>
  <c r="BY25" i="6" s="1"/>
  <c r="T25" i="6"/>
  <c r="O25" i="6" s="1"/>
  <c r="AQ25" i="8"/>
  <c r="BB22" i="6"/>
  <c r="BQ22" i="6"/>
  <c r="BR22" i="6" s="1"/>
  <c r="AU19" i="15"/>
  <c r="AQ19" i="15" s="1"/>
  <c r="BX22" i="6"/>
  <c r="BY22" i="6" s="1"/>
  <c r="G22" i="6"/>
  <c r="F22" i="8"/>
  <c r="B22" i="8" s="1"/>
  <c r="B6" i="8" s="1"/>
  <c r="B11" i="9" s="1"/>
  <c r="B6" i="6"/>
  <c r="T22" i="6"/>
  <c r="G24" i="6"/>
  <c r="K24" i="8" s="1"/>
  <c r="F24" i="8"/>
  <c r="B24" i="8" s="1"/>
  <c r="T24" i="6"/>
  <c r="AI22" i="8"/>
  <c r="AT25" i="8"/>
  <c r="X123" i="15" l="1"/>
  <c r="X1" i="15" s="1"/>
  <c r="Y131" i="6"/>
  <c r="Y132" i="6" s="1"/>
  <c r="O58" i="8"/>
  <c r="D12" i="9" s="1"/>
  <c r="AK132" i="6"/>
  <c r="N52" i="12"/>
  <c r="N54" i="12" s="1"/>
  <c r="M52" i="12"/>
  <c r="M54" i="12" s="1"/>
  <c r="AH132" i="6"/>
  <c r="AI16" i="6" s="1"/>
  <c r="L74" i="8"/>
  <c r="AZ71" i="15"/>
  <c r="AZ103" i="15"/>
  <c r="L106" i="8"/>
  <c r="AZ72" i="15"/>
  <c r="L75" i="8"/>
  <c r="U24" i="6"/>
  <c r="L24" i="6"/>
  <c r="BG24" i="8"/>
  <c r="C24" i="6"/>
  <c r="J52" i="12"/>
  <c r="J54" i="12" s="1"/>
  <c r="BD97" i="15"/>
  <c r="AY101" i="8"/>
  <c r="BC101" i="8"/>
  <c r="AY78" i="8"/>
  <c r="BD75" i="15"/>
  <c r="BC78" i="8"/>
  <c r="BD83" i="15"/>
  <c r="BC86" i="8"/>
  <c r="AY86" i="8"/>
  <c r="AY73" i="8"/>
  <c r="BD70" i="15"/>
  <c r="BC73" i="8"/>
  <c r="AY83" i="8"/>
  <c r="BC83" i="8"/>
  <c r="BD80" i="15"/>
  <c r="AY74" i="8"/>
  <c r="BD71" i="15"/>
  <c r="BC74" i="8"/>
  <c r="AY82" i="8"/>
  <c r="BD79" i="15"/>
  <c r="BC82" i="8"/>
  <c r="AY64" i="8"/>
  <c r="BD61" i="15"/>
  <c r="BC64" i="8"/>
  <c r="BC61" i="8"/>
  <c r="BD58" i="15"/>
  <c r="AY61" i="8"/>
  <c r="AY117" i="8"/>
  <c r="BC117" i="8"/>
  <c r="BD113" i="15"/>
  <c r="AY88" i="8"/>
  <c r="BD85" i="15"/>
  <c r="BC88" i="8"/>
  <c r="AY114" i="8"/>
  <c r="BC114" i="8"/>
  <c r="BD111" i="15"/>
  <c r="L100" i="8"/>
  <c r="AZ96" i="15"/>
  <c r="AY107" i="8"/>
  <c r="BD104" i="15"/>
  <c r="BC107" i="8"/>
  <c r="I64" i="8"/>
  <c r="AW61" i="15"/>
  <c r="AW99" i="15"/>
  <c r="I103" i="8"/>
  <c r="AZ83" i="15"/>
  <c r="L86" i="8"/>
  <c r="AZ122" i="15"/>
  <c r="L127" i="8"/>
  <c r="AW98" i="15"/>
  <c r="I102" i="8"/>
  <c r="AW70" i="15"/>
  <c r="I73" i="8"/>
  <c r="AW58" i="15"/>
  <c r="I61" i="8"/>
  <c r="AW79" i="15"/>
  <c r="I82" i="8"/>
  <c r="AZ111" i="15"/>
  <c r="L114" i="8"/>
  <c r="AW81" i="15"/>
  <c r="I84" i="8"/>
  <c r="AZ60" i="15"/>
  <c r="L63" i="8"/>
  <c r="T121" i="15"/>
  <c r="AQ127" i="6"/>
  <c r="AB132" i="6"/>
  <c r="K52" i="12"/>
  <c r="K54" i="12" s="1"/>
  <c r="K61" i="6"/>
  <c r="U58" i="8" s="1"/>
  <c r="U59" i="8"/>
  <c r="I101" i="8"/>
  <c r="AW97" i="15"/>
  <c r="I117" i="8"/>
  <c r="AW113" i="15"/>
  <c r="AW82" i="15"/>
  <c r="I85" i="8"/>
  <c r="AW88" i="15"/>
  <c r="I91" i="8"/>
  <c r="L91" i="8"/>
  <c r="AZ88" i="15"/>
  <c r="AC27" i="8"/>
  <c r="AG27" i="8"/>
  <c r="AV121" i="15"/>
  <c r="G125" i="8"/>
  <c r="U128" i="6"/>
  <c r="B128" i="6"/>
  <c r="G102" i="8"/>
  <c r="AV98" i="15"/>
  <c r="U105" i="6"/>
  <c r="B105" i="6"/>
  <c r="G115" i="8"/>
  <c r="AV112" i="15"/>
  <c r="U118" i="6"/>
  <c r="B118" i="6"/>
  <c r="G98" i="8"/>
  <c r="U102" i="6"/>
  <c r="BH99" i="8" s="1"/>
  <c r="B102" i="6"/>
  <c r="G103" i="8"/>
  <c r="AV99" i="15"/>
  <c r="B106" i="6"/>
  <c r="U106" i="6"/>
  <c r="G119" i="8"/>
  <c r="AV115" i="15"/>
  <c r="B122" i="6"/>
  <c r="AV56" i="15"/>
  <c r="G59" i="8"/>
  <c r="U62" i="6"/>
  <c r="B62" i="6"/>
  <c r="G109" i="8"/>
  <c r="U112" i="6"/>
  <c r="BH109" i="8" s="1"/>
  <c r="B112" i="6"/>
  <c r="G117" i="8"/>
  <c r="AV113" i="15"/>
  <c r="U120" i="6"/>
  <c r="B120" i="6"/>
  <c r="AV75" i="15"/>
  <c r="G78" i="8"/>
  <c r="U81" i="6"/>
  <c r="B81" i="6"/>
  <c r="AV78" i="15"/>
  <c r="G81" i="8"/>
  <c r="U84" i="6"/>
  <c r="B84" i="6"/>
  <c r="G83" i="8"/>
  <c r="AV80" i="15"/>
  <c r="U86" i="6"/>
  <c r="B86" i="6"/>
  <c r="G100" i="8"/>
  <c r="AV96" i="15"/>
  <c r="G99" i="8"/>
  <c r="U103" i="6"/>
  <c r="B103" i="6"/>
  <c r="G64" i="8"/>
  <c r="AV61" i="15"/>
  <c r="U67" i="6"/>
  <c r="B67" i="6"/>
  <c r="G116" i="8"/>
  <c r="U119" i="6"/>
  <c r="BH116" i="8" s="1"/>
  <c r="B119" i="6"/>
  <c r="AV74" i="15"/>
  <c r="G77" i="8"/>
  <c r="U80" i="6"/>
  <c r="B80" i="6"/>
  <c r="G60" i="8"/>
  <c r="AV57" i="15"/>
  <c r="U63" i="6"/>
  <c r="BI57" i="15" s="1"/>
  <c r="B63" i="6"/>
  <c r="AV122" i="15"/>
  <c r="G127" i="8"/>
  <c r="U130" i="6"/>
  <c r="B130" i="6"/>
  <c r="G118" i="8"/>
  <c r="AV114" i="15"/>
  <c r="U121" i="6"/>
  <c r="B121" i="6"/>
  <c r="BH63" i="8"/>
  <c r="BI60" i="15"/>
  <c r="BA6" i="15"/>
  <c r="M6" i="8"/>
  <c r="C76" i="8"/>
  <c r="B76" i="8" s="1"/>
  <c r="C114" i="8"/>
  <c r="B114" i="8" s="1"/>
  <c r="C103" i="8"/>
  <c r="B103" i="8" s="1"/>
  <c r="C115" i="8"/>
  <c r="B115" i="8" s="1"/>
  <c r="C78" i="8"/>
  <c r="B78" i="8" s="1"/>
  <c r="C88" i="8"/>
  <c r="B88" i="8" s="1"/>
  <c r="C73" i="8"/>
  <c r="B73" i="8" s="1"/>
  <c r="C102" i="8"/>
  <c r="B102" i="8" s="1"/>
  <c r="C107" i="8"/>
  <c r="B107" i="8" s="1"/>
  <c r="C60" i="8"/>
  <c r="B60" i="8" s="1"/>
  <c r="C86" i="8"/>
  <c r="B86" i="8" s="1"/>
  <c r="C117" i="8"/>
  <c r="B117" i="8" s="1"/>
  <c r="C84" i="8"/>
  <c r="B84" i="8" s="1"/>
  <c r="C83" i="8"/>
  <c r="B83" i="8" s="1"/>
  <c r="C106" i="8"/>
  <c r="B106" i="8" s="1"/>
  <c r="C81" i="8"/>
  <c r="B81" i="8" s="1"/>
  <c r="C91" i="8"/>
  <c r="B91" i="8" s="1"/>
  <c r="C101" i="8"/>
  <c r="B101" i="8" s="1"/>
  <c r="C64" i="8"/>
  <c r="B64" i="8" s="1"/>
  <c r="C77" i="8"/>
  <c r="B77" i="8" s="1"/>
  <c r="C116" i="8"/>
  <c r="B116" i="8" s="1"/>
  <c r="C118" i="8"/>
  <c r="B118" i="8" s="1"/>
  <c r="C82" i="8"/>
  <c r="B82" i="8" s="1"/>
  <c r="C85" i="8"/>
  <c r="B85" i="8" s="1"/>
  <c r="C66" i="8"/>
  <c r="B66" i="8" s="1"/>
  <c r="C98" i="8"/>
  <c r="B98" i="8" s="1"/>
  <c r="C61" i="8"/>
  <c r="B61" i="8" s="1"/>
  <c r="C99" i="8"/>
  <c r="B99" i="8" s="1"/>
  <c r="C109" i="8"/>
  <c r="B109" i="8" s="1"/>
  <c r="C100" i="8"/>
  <c r="B100" i="8" s="1"/>
  <c r="C127" i="8"/>
  <c r="B127" i="8" s="1"/>
  <c r="C74" i="8"/>
  <c r="B74" i="8" s="1"/>
  <c r="C75" i="8"/>
  <c r="B75" i="8" s="1"/>
  <c r="C123" i="8"/>
  <c r="B123" i="8" s="1"/>
  <c r="B121" i="8" s="1"/>
  <c r="B15" i="9" s="1"/>
  <c r="C125" i="8"/>
  <c r="B125" i="8" s="1"/>
  <c r="B124" i="8" s="1"/>
  <c r="C63" i="8"/>
  <c r="B63" i="8" s="1"/>
  <c r="C59" i="8"/>
  <c r="B59" i="8" s="1"/>
  <c r="B58" i="8" s="1"/>
  <c r="M16" i="9"/>
  <c r="K16" i="9"/>
  <c r="Q16" i="9"/>
  <c r="E16" i="9"/>
  <c r="P16" i="9"/>
  <c r="N16" i="9"/>
  <c r="AI58" i="8"/>
  <c r="K12" i="9" s="1"/>
  <c r="AM62" i="8"/>
  <c r="M14" i="9" s="1"/>
  <c r="AO24" i="8"/>
  <c r="AI24" i="8"/>
  <c r="AK24" i="8"/>
  <c r="AR123" i="8"/>
  <c r="N126" i="6"/>
  <c r="AR110" i="8"/>
  <c r="N113" i="6"/>
  <c r="AQ110" i="8" s="1"/>
  <c r="L122" i="6"/>
  <c r="L113" i="6"/>
  <c r="R107" i="6"/>
  <c r="R113" i="6"/>
  <c r="L107" i="6"/>
  <c r="R122" i="6"/>
  <c r="F113" i="6"/>
  <c r="BJ6" i="15"/>
  <c r="F122" i="6"/>
  <c r="U140" i="6"/>
  <c r="F107" i="6"/>
  <c r="BI6" i="8"/>
  <c r="AR76" i="8"/>
  <c r="N79" i="6"/>
  <c r="AQ76" i="8" s="1"/>
  <c r="AR100" i="8"/>
  <c r="N103" i="6"/>
  <c r="AQ100" i="8" s="1"/>
  <c r="AR115" i="8"/>
  <c r="N118" i="6"/>
  <c r="AQ115" i="8" s="1"/>
  <c r="AR82" i="8"/>
  <c r="N85" i="6"/>
  <c r="AQ82" i="8" s="1"/>
  <c r="AR86" i="8"/>
  <c r="N89" i="6"/>
  <c r="AQ86" i="8" s="1"/>
  <c r="AR91" i="8"/>
  <c r="N94" i="6"/>
  <c r="AR60" i="8"/>
  <c r="AR59" i="8"/>
  <c r="N62" i="6"/>
  <c r="AR64" i="8"/>
  <c r="N67" i="6"/>
  <c r="AQ64" i="8" s="1"/>
  <c r="N106" i="6"/>
  <c r="AQ103" i="8" s="1"/>
  <c r="AR103" i="8"/>
  <c r="AR99" i="8"/>
  <c r="N102" i="6"/>
  <c r="AQ99" i="8" s="1"/>
  <c r="N120" i="6"/>
  <c r="AQ117" i="8" s="1"/>
  <c r="AR117" i="8"/>
  <c r="N121" i="6"/>
  <c r="AQ118" i="8" s="1"/>
  <c r="AR118" i="8"/>
  <c r="AR61" i="8"/>
  <c r="N64" i="6"/>
  <c r="AQ61" i="8" s="1"/>
  <c r="AR101" i="8"/>
  <c r="N104" i="6"/>
  <c r="AQ101" i="8" s="1"/>
  <c r="AR73" i="8"/>
  <c r="N76" i="6"/>
  <c r="AQ73" i="8" s="1"/>
  <c r="AR85" i="8"/>
  <c r="N88" i="6"/>
  <c r="AQ85" i="8" s="1"/>
  <c r="AR83" i="8"/>
  <c r="N86" i="6"/>
  <c r="AQ83" i="8" s="1"/>
  <c r="BC116" i="8"/>
  <c r="AY116" i="8"/>
  <c r="AY100" i="8"/>
  <c r="BC100" i="8"/>
  <c r="BD96" i="15"/>
  <c r="AY75" i="8"/>
  <c r="BD72" i="15"/>
  <c r="BC75" i="8"/>
  <c r="BD99" i="15"/>
  <c r="BC103" i="8"/>
  <c r="AY103" i="8"/>
  <c r="AW73" i="15"/>
  <c r="I76" i="8"/>
  <c r="BD82" i="15"/>
  <c r="BC85" i="8"/>
  <c r="AY85" i="8"/>
  <c r="BD78" i="15"/>
  <c r="BC81" i="8"/>
  <c r="AY81" i="8"/>
  <c r="BC115" i="8"/>
  <c r="BD112" i="15"/>
  <c r="AY115" i="8"/>
  <c r="BC84" i="8"/>
  <c r="AY84" i="8"/>
  <c r="BD81" i="15"/>
  <c r="I88" i="8"/>
  <c r="AW85" i="15"/>
  <c r="BC60" i="8"/>
  <c r="AY59" i="8"/>
  <c r="Q61" i="6"/>
  <c r="BD56" i="15"/>
  <c r="BC59" i="8"/>
  <c r="H128" i="6"/>
  <c r="G102" i="6"/>
  <c r="AY63" i="8"/>
  <c r="BD60" i="15"/>
  <c r="BC63" i="8"/>
  <c r="Q65" i="6"/>
  <c r="BD57" i="15"/>
  <c r="AY60" i="8"/>
  <c r="H118" i="6"/>
  <c r="AW74" i="15"/>
  <c r="I77" i="8"/>
  <c r="G80" i="6"/>
  <c r="AW114" i="15"/>
  <c r="I118" i="8"/>
  <c r="G121" i="6"/>
  <c r="H81" i="6"/>
  <c r="H62" i="6"/>
  <c r="BD88" i="15"/>
  <c r="BC91" i="8"/>
  <c r="AY91" i="8"/>
  <c r="I81" i="8"/>
  <c r="AW78" i="15"/>
  <c r="G84" i="6"/>
  <c r="U125" i="8"/>
  <c r="K127" i="6"/>
  <c r="U124" i="8" s="1"/>
  <c r="AY123" i="8"/>
  <c r="BD119" i="15"/>
  <c r="BC123" i="8"/>
  <c r="Q124" i="6"/>
  <c r="AC26" i="8"/>
  <c r="AG26" i="8"/>
  <c r="AW119" i="15"/>
  <c r="I123" i="8"/>
  <c r="E124" i="6"/>
  <c r="B123" i="15"/>
  <c r="L64" i="15"/>
  <c r="R87" i="15"/>
  <c r="R123" i="15" s="1"/>
  <c r="AB87" i="15"/>
  <c r="AB123" i="15" s="1"/>
  <c r="AB1" i="15" s="1"/>
  <c r="L117" i="15"/>
  <c r="F6" i="8"/>
  <c r="AU6" i="15"/>
  <c r="BH22" i="15"/>
  <c r="BN25" i="6"/>
  <c r="BG25" i="8"/>
  <c r="U25" i="6"/>
  <c r="BK25" i="6" s="1"/>
  <c r="AK23" i="8"/>
  <c r="AO23" i="8"/>
  <c r="AO6" i="8" s="1"/>
  <c r="N11" i="9" s="1"/>
  <c r="AI23" i="8"/>
  <c r="AI6" i="8"/>
  <c r="K11" i="9" s="1"/>
  <c r="BH19" i="15"/>
  <c r="U22" i="6"/>
  <c r="BK22" i="6" s="1"/>
  <c r="BG22" i="8"/>
  <c r="T6" i="6"/>
  <c r="L22" i="6"/>
  <c r="O22" i="6"/>
  <c r="C22" i="6"/>
  <c r="AY19" i="15"/>
  <c r="K22" i="8"/>
  <c r="G6" i="6"/>
  <c r="BA23" i="6"/>
  <c r="BA24" i="6"/>
  <c r="AG25" i="8"/>
  <c r="AG6" i="8" s="1"/>
  <c r="J11" i="9" s="1"/>
  <c r="AC25" i="8"/>
  <c r="AC6" i="8" s="1"/>
  <c r="I11" i="9" s="1"/>
  <c r="R11" i="9" s="1"/>
  <c r="BJ22" i="8"/>
  <c r="AL6" i="8"/>
  <c r="AK22" i="8"/>
  <c r="AK6" i="8" s="1"/>
  <c r="L11" i="9" s="1"/>
  <c r="T119" i="15"/>
  <c r="AQ124" i="6"/>
  <c r="U91" i="8"/>
  <c r="BD73" i="15"/>
  <c r="AY76" i="8"/>
  <c r="BC76" i="8"/>
  <c r="BD122" i="15"/>
  <c r="AY127" i="8"/>
  <c r="BC127" i="8"/>
  <c r="AW96" i="15"/>
  <c r="I100" i="8"/>
  <c r="G103" i="6"/>
  <c r="L64" i="8"/>
  <c r="AZ61" i="15"/>
  <c r="AZ99" i="15"/>
  <c r="L103" i="8"/>
  <c r="AQ71" i="6"/>
  <c r="T64" i="15" s="1"/>
  <c r="T70" i="15"/>
  <c r="I86" i="8"/>
  <c r="AW83" i="15"/>
  <c r="AW122" i="15"/>
  <c r="I127" i="8"/>
  <c r="G130" i="6"/>
  <c r="L102" i="8"/>
  <c r="AZ98" i="15"/>
  <c r="G63" i="6"/>
  <c r="AY57" i="15" s="1"/>
  <c r="AW57" i="15"/>
  <c r="L73" i="8"/>
  <c r="AZ70" i="15"/>
  <c r="AW104" i="15"/>
  <c r="I107" i="8"/>
  <c r="L107" i="8"/>
  <c r="AZ104" i="15"/>
  <c r="I83" i="8"/>
  <c r="AW80" i="15"/>
  <c r="G86" i="6"/>
  <c r="AZ80" i="15"/>
  <c r="L83" i="8"/>
  <c r="AY125" i="8"/>
  <c r="BC125" i="8"/>
  <c r="BD121" i="15"/>
  <c r="Q127" i="6"/>
  <c r="L61" i="8"/>
  <c r="AZ58" i="15"/>
  <c r="L82" i="8"/>
  <c r="AZ79" i="15"/>
  <c r="AW111" i="15"/>
  <c r="I114" i="8"/>
  <c r="AZ81" i="15"/>
  <c r="L84" i="8"/>
  <c r="AW60" i="15"/>
  <c r="I63" i="8"/>
  <c r="E65" i="6"/>
  <c r="G66" i="6"/>
  <c r="L101" i="8"/>
  <c r="AZ97" i="15"/>
  <c r="AZ113" i="15"/>
  <c r="L117" i="8"/>
  <c r="L85" i="8"/>
  <c r="AZ82" i="15"/>
  <c r="O11" i="9"/>
  <c r="BG27" i="8"/>
  <c r="BN27" i="6"/>
  <c r="U27" i="6"/>
  <c r="G91" i="8"/>
  <c r="AV88" i="15"/>
  <c r="U94" i="6"/>
  <c r="B94" i="6"/>
  <c r="G94" i="6" s="1"/>
  <c r="AV97" i="15"/>
  <c r="G101" i="8"/>
  <c r="U104" i="6"/>
  <c r="B104" i="6"/>
  <c r="G104" i="6" s="1"/>
  <c r="G86" i="8"/>
  <c r="AV83" i="15"/>
  <c r="U89" i="6"/>
  <c r="B89" i="6"/>
  <c r="U101" i="6"/>
  <c r="B101" i="6"/>
  <c r="G101" i="6" s="1"/>
  <c r="G85" i="8"/>
  <c r="AV82" i="15"/>
  <c r="U88" i="6"/>
  <c r="B88" i="6"/>
  <c r="G88" i="6" s="1"/>
  <c r="AV100" i="15"/>
  <c r="G104" i="8"/>
  <c r="B107" i="6"/>
  <c r="G110" i="8"/>
  <c r="AV106" i="15"/>
  <c r="U113" i="6"/>
  <c r="B113" i="6"/>
  <c r="G74" i="8"/>
  <c r="AV71" i="15"/>
  <c r="U77" i="6"/>
  <c r="B77" i="6"/>
  <c r="G88" i="8"/>
  <c r="AV85" i="15"/>
  <c r="U91" i="6"/>
  <c r="B91" i="6"/>
  <c r="G91" i="6" s="1"/>
  <c r="G106" i="8"/>
  <c r="AV103" i="15"/>
  <c r="U109" i="6"/>
  <c r="B109" i="6"/>
  <c r="G82" i="8"/>
  <c r="AV79" i="15"/>
  <c r="U85" i="6"/>
  <c r="B85" i="6"/>
  <c r="G85" i="6" s="1"/>
  <c r="G123" i="8"/>
  <c r="AV119" i="15"/>
  <c r="U126" i="6"/>
  <c r="B126" i="6"/>
  <c r="G126" i="6" s="1"/>
  <c r="AV70" i="15"/>
  <c r="G73" i="8"/>
  <c r="B76" i="6"/>
  <c r="U76" i="6"/>
  <c r="AV81" i="15"/>
  <c r="G84" i="8"/>
  <c r="U87" i="6"/>
  <c r="B87" i="6"/>
  <c r="AV63" i="15"/>
  <c r="G66" i="8"/>
  <c r="U69" i="6"/>
  <c r="B69" i="6"/>
  <c r="G61" i="8"/>
  <c r="AV58" i="15"/>
  <c r="U64" i="6"/>
  <c r="B64" i="6"/>
  <c r="G107" i="8"/>
  <c r="AV104" i="15"/>
  <c r="U110" i="6"/>
  <c r="B110" i="6"/>
  <c r="G114" i="8"/>
  <c r="AV111" i="15"/>
  <c r="U117" i="6"/>
  <c r="B117" i="6"/>
  <c r="AV73" i="15"/>
  <c r="G76" i="8"/>
  <c r="U79" i="6"/>
  <c r="B79" i="6"/>
  <c r="G75" i="8"/>
  <c r="AV72" i="15"/>
  <c r="U78" i="6"/>
  <c r="B78" i="6"/>
  <c r="U123" i="8"/>
  <c r="K124" i="6"/>
  <c r="AR79" i="15"/>
  <c r="AQ79" i="15" s="1"/>
  <c r="AR119" i="15"/>
  <c r="AQ119" i="15" s="1"/>
  <c r="AR82" i="15"/>
  <c r="AQ82" i="15" s="1"/>
  <c r="AR81" i="15"/>
  <c r="AQ81" i="15" s="1"/>
  <c r="AR80" i="15"/>
  <c r="AQ80" i="15" s="1"/>
  <c r="AR73" i="15"/>
  <c r="AQ73" i="15" s="1"/>
  <c r="AR61" i="15"/>
  <c r="AQ61" i="15" s="1"/>
  <c r="AR118" i="15"/>
  <c r="AQ118" i="15" s="1"/>
  <c r="AR60" i="15"/>
  <c r="AQ60" i="15" s="1"/>
  <c r="AR57" i="15"/>
  <c r="AQ57" i="15" s="1"/>
  <c r="AR70" i="15"/>
  <c r="AQ70" i="15" s="1"/>
  <c r="AR75" i="15"/>
  <c r="AQ75" i="15" s="1"/>
  <c r="AR78" i="15"/>
  <c r="AQ78" i="15" s="1"/>
  <c r="AR103" i="15"/>
  <c r="AQ103" i="15" s="1"/>
  <c r="AR111" i="15"/>
  <c r="AQ111" i="15" s="1"/>
  <c r="AR56" i="15"/>
  <c r="AQ56" i="15" s="1"/>
  <c r="AR104" i="15"/>
  <c r="AQ104" i="15" s="1"/>
  <c r="AR97" i="15"/>
  <c r="AQ97" i="15" s="1"/>
  <c r="AR85" i="15"/>
  <c r="AQ85" i="15" s="1"/>
  <c r="AR83" i="15"/>
  <c r="AQ83" i="15" s="1"/>
  <c r="AR63" i="15"/>
  <c r="AQ63" i="15" s="1"/>
  <c r="AR112" i="15"/>
  <c r="AQ112" i="15" s="1"/>
  <c r="AR72" i="15"/>
  <c r="AQ72" i="15" s="1"/>
  <c r="AR96" i="15"/>
  <c r="AQ96" i="15" s="1"/>
  <c r="AR74" i="15"/>
  <c r="AQ74" i="15" s="1"/>
  <c r="AR113" i="15"/>
  <c r="AQ113" i="15" s="1"/>
  <c r="AR121" i="15"/>
  <c r="AQ121" i="15" s="1"/>
  <c r="AR114" i="15"/>
  <c r="AQ114" i="15" s="1"/>
  <c r="AR71" i="15"/>
  <c r="AQ71" i="15" s="1"/>
  <c r="AR58" i="15"/>
  <c r="AQ58" i="15" s="1"/>
  <c r="AR98" i="15"/>
  <c r="AQ98" i="15" s="1"/>
  <c r="AR122" i="15"/>
  <c r="AQ122" i="15" s="1"/>
  <c r="AR99" i="15"/>
  <c r="AQ99" i="15" s="1"/>
  <c r="AR100" i="15"/>
  <c r="AQ100" i="15" s="1"/>
  <c r="AR106" i="15"/>
  <c r="AQ106" i="15" s="1"/>
  <c r="AR115" i="15"/>
  <c r="AQ115" i="15" s="1"/>
  <c r="AR88" i="15"/>
  <c r="AQ88" i="15" s="1"/>
  <c r="F63" i="8"/>
  <c r="AU60" i="15"/>
  <c r="B65" i="6"/>
  <c r="U63" i="8"/>
  <c r="K65" i="6"/>
  <c r="U62" i="8" s="1"/>
  <c r="BN22" i="6"/>
  <c r="H101" i="6"/>
  <c r="AH110" i="8"/>
  <c r="AH75" i="8"/>
  <c r="AG75" i="8" s="1"/>
  <c r="AH82" i="8"/>
  <c r="AG82" i="8" s="1"/>
  <c r="AH107" i="8"/>
  <c r="AG107" i="8" s="1"/>
  <c r="AH73" i="8"/>
  <c r="AG73" i="8" s="1"/>
  <c r="AH102" i="8"/>
  <c r="AG102" i="8" s="1"/>
  <c r="AH84" i="8"/>
  <c r="AG84" i="8" s="1"/>
  <c r="AH81" i="8"/>
  <c r="AG81" i="8" s="1"/>
  <c r="AH74" i="8"/>
  <c r="AG74" i="8" s="1"/>
  <c r="AH86" i="8"/>
  <c r="AG86" i="8" s="1"/>
  <c r="AH101" i="8"/>
  <c r="AG101" i="8" s="1"/>
  <c r="AH106" i="8"/>
  <c r="AG106" i="8" s="1"/>
  <c r="AH127" i="8"/>
  <c r="AG127" i="8" s="1"/>
  <c r="AH78" i="8"/>
  <c r="AG78" i="8" s="1"/>
  <c r="AH85" i="8"/>
  <c r="AG85" i="8" s="1"/>
  <c r="AH76" i="8"/>
  <c r="AG76" i="8" s="1"/>
  <c r="AH103" i="8"/>
  <c r="AG103" i="8" s="1"/>
  <c r="AH123" i="8"/>
  <c r="AG123" i="8" s="1"/>
  <c r="AG121" i="8" s="1"/>
  <c r="J15" i="9" s="1"/>
  <c r="AH104" i="8"/>
  <c r="AH109" i="8"/>
  <c r="AG109" i="8" s="1"/>
  <c r="AH118" i="8"/>
  <c r="AG118" i="8" s="1"/>
  <c r="AH114" i="8"/>
  <c r="AG114" i="8" s="1"/>
  <c r="AH100" i="8"/>
  <c r="AG100" i="8" s="1"/>
  <c r="AH99" i="8"/>
  <c r="AG99" i="8" s="1"/>
  <c r="AH117" i="8"/>
  <c r="AG117" i="8" s="1"/>
  <c r="AH64" i="8"/>
  <c r="AG64" i="8" s="1"/>
  <c r="AH98" i="8"/>
  <c r="AG98" i="8" s="1"/>
  <c r="AH83" i="8"/>
  <c r="AG83" i="8" s="1"/>
  <c r="AH61" i="8"/>
  <c r="AG61" i="8" s="1"/>
  <c r="AH66" i="8"/>
  <c r="AG66" i="8" s="1"/>
  <c r="AH116" i="8"/>
  <c r="AG116" i="8" s="1"/>
  <c r="AH119" i="8"/>
  <c r="AH77" i="8"/>
  <c r="AG77" i="8" s="1"/>
  <c r="AH60" i="8"/>
  <c r="AG60" i="8" s="1"/>
  <c r="AH88" i="8"/>
  <c r="AG88" i="8" s="1"/>
  <c r="AH115" i="8"/>
  <c r="AG115" i="8" s="1"/>
  <c r="AH59" i="8"/>
  <c r="AG59" i="8" s="1"/>
  <c r="AH63" i="8"/>
  <c r="AG63" i="8" s="1"/>
  <c r="AG62" i="8" s="1"/>
  <c r="J14" i="9" s="1"/>
  <c r="AH125" i="8"/>
  <c r="AG125" i="8" s="1"/>
  <c r="AH91" i="8"/>
  <c r="AG91" i="8" s="1"/>
  <c r="U23" i="6"/>
  <c r="L23" i="6"/>
  <c r="BG23" i="8"/>
  <c r="C23" i="6"/>
  <c r="BK22" i="8"/>
  <c r="BL22" i="8" s="1"/>
  <c r="H16" i="9"/>
  <c r="D16" i="9"/>
  <c r="I16" i="9"/>
  <c r="G16" i="9"/>
  <c r="F16" i="9"/>
  <c r="AA121" i="8"/>
  <c r="H15" i="9" s="1"/>
  <c r="C16" i="9"/>
  <c r="AI62" i="8"/>
  <c r="K14" i="9" s="1"/>
  <c r="O24" i="6"/>
  <c r="O122" i="6"/>
  <c r="O107" i="6"/>
  <c r="AR98" i="8"/>
  <c r="N101" i="6"/>
  <c r="AQ98" i="8" s="1"/>
  <c r="AR102" i="8"/>
  <c r="N105" i="6"/>
  <c r="AQ102" i="8" s="1"/>
  <c r="AR63" i="8"/>
  <c r="N66" i="6"/>
  <c r="AR114" i="8"/>
  <c r="N117" i="6"/>
  <c r="AQ114" i="8" s="1"/>
  <c r="AR88" i="8"/>
  <c r="N91" i="6"/>
  <c r="AQ88" i="8" s="1"/>
  <c r="AR107" i="8"/>
  <c r="N110" i="6"/>
  <c r="AQ107" i="8" s="1"/>
  <c r="AR127" i="8"/>
  <c r="N130" i="6"/>
  <c r="AQ127" i="8" s="1"/>
  <c r="AR106" i="8"/>
  <c r="N109" i="6"/>
  <c r="AQ106" i="8" s="1"/>
  <c r="AR116" i="8"/>
  <c r="N119" i="6"/>
  <c r="AQ116" i="8" s="1"/>
  <c r="AR84" i="8"/>
  <c r="N87" i="6"/>
  <c r="AQ84" i="8" s="1"/>
  <c r="N78" i="6"/>
  <c r="AQ75" i="8" s="1"/>
  <c r="AR75" i="8"/>
  <c r="N112" i="6"/>
  <c r="AQ109" i="8" s="1"/>
  <c r="AR109" i="8"/>
  <c r="AR77" i="8"/>
  <c r="N80" i="6"/>
  <c r="AQ77" i="8" s="1"/>
  <c r="AR66" i="8"/>
  <c r="N69" i="6"/>
  <c r="AQ66" i="8" s="1"/>
  <c r="AR81" i="8"/>
  <c r="N84" i="6"/>
  <c r="AQ81" i="8" s="1"/>
  <c r="AR125" i="8"/>
  <c r="N128" i="6"/>
  <c r="AR78" i="8"/>
  <c r="N81" i="6"/>
  <c r="AQ78" i="8" s="1"/>
  <c r="AR74" i="8"/>
  <c r="N77" i="6"/>
  <c r="AQ74" i="8" s="1"/>
  <c r="BD114" i="15"/>
  <c r="AY118" i="8"/>
  <c r="BC118" i="8"/>
  <c r="AY106" i="8"/>
  <c r="BD103" i="15"/>
  <c r="BC106" i="8"/>
  <c r="BD74" i="15"/>
  <c r="BC77" i="8"/>
  <c r="AY77" i="8"/>
  <c r="BD98" i="15"/>
  <c r="AY102" i="8"/>
  <c r="BC102" i="8"/>
  <c r="AY109" i="8"/>
  <c r="BC109" i="8"/>
  <c r="H79" i="6"/>
  <c r="H91" i="6"/>
  <c r="AW72" i="15"/>
  <c r="I75" i="8"/>
  <c r="G78" i="6"/>
  <c r="AW121" i="15"/>
  <c r="I125" i="8"/>
  <c r="G128" i="6"/>
  <c r="E127" i="6"/>
  <c r="H102" i="6"/>
  <c r="AW112" i="15"/>
  <c r="I115" i="8"/>
  <c r="G118" i="6"/>
  <c r="H80" i="6"/>
  <c r="H121" i="6"/>
  <c r="I78" i="8"/>
  <c r="AW75" i="15"/>
  <c r="G81" i="6"/>
  <c r="T56" i="15"/>
  <c r="AQ61" i="6"/>
  <c r="T55" i="15" s="1"/>
  <c r="I59" i="8"/>
  <c r="AW56" i="15"/>
  <c r="G62" i="6"/>
  <c r="E61" i="6"/>
  <c r="AW71" i="15"/>
  <c r="I74" i="8"/>
  <c r="G77" i="6"/>
  <c r="I106" i="8"/>
  <c r="AW103" i="15"/>
  <c r="G109" i="6"/>
  <c r="T60" i="15"/>
  <c r="AQ65" i="6"/>
  <c r="T59" i="15" s="1"/>
  <c r="AE132" i="6"/>
  <c r="L52" i="12"/>
  <c r="L54" i="12" s="1"/>
  <c r="H84" i="6"/>
  <c r="AQ93" i="6"/>
  <c r="T87" i="15" s="1"/>
  <c r="T88" i="15"/>
  <c r="BN26" i="6"/>
  <c r="BG26" i="8"/>
  <c r="U26" i="6"/>
  <c r="H126" i="6"/>
  <c r="J123" i="15"/>
  <c r="L55" i="15"/>
  <c r="N55" i="15"/>
  <c r="N123" i="15" s="1"/>
  <c r="D64" i="15"/>
  <c r="D123" i="15" s="1"/>
  <c r="L87" i="15"/>
  <c r="L123" i="15" s="1"/>
  <c r="Z64" i="15"/>
  <c r="Z123" i="15" s="1"/>
  <c r="Z1" i="15" s="1"/>
  <c r="F64" i="15"/>
  <c r="F123" i="15" s="1"/>
  <c r="P59" i="15"/>
  <c r="P123" i="15" s="1"/>
  <c r="AY119" i="15" l="1"/>
  <c r="K123" i="8"/>
  <c r="G124" i="6"/>
  <c r="K82" i="8"/>
  <c r="AY79" i="15"/>
  <c r="AY85" i="15"/>
  <c r="K88" i="8"/>
  <c r="AY82" i="15"/>
  <c r="K85" i="8"/>
  <c r="AY95" i="15"/>
  <c r="K98" i="8"/>
  <c r="K101" i="8"/>
  <c r="AY97" i="15"/>
  <c r="AY88" i="15"/>
  <c r="K91" i="8"/>
  <c r="K106" i="8"/>
  <c r="AY103" i="15"/>
  <c r="AY75" i="15"/>
  <c r="K78" i="8"/>
  <c r="L77" i="8"/>
  <c r="AZ74" i="15"/>
  <c r="K125" i="8"/>
  <c r="AY121" i="15"/>
  <c r="AZ85" i="15"/>
  <c r="L88" i="8"/>
  <c r="AR119" i="8"/>
  <c r="N122" i="6"/>
  <c r="AQ119" i="8" s="1"/>
  <c r="F62" i="8"/>
  <c r="AU59" i="15"/>
  <c r="AQ120" i="15"/>
  <c r="BB60" i="15"/>
  <c r="AQ59" i="15"/>
  <c r="BB59" i="15" s="1"/>
  <c r="BH75" i="8"/>
  <c r="BI72" i="15"/>
  <c r="BH76" i="8"/>
  <c r="BI73" i="15"/>
  <c r="BI111" i="15"/>
  <c r="BH114" i="8"/>
  <c r="BH107" i="8"/>
  <c r="BI104" i="15"/>
  <c r="BH61" i="8"/>
  <c r="BI58" i="15"/>
  <c r="BI63" i="15"/>
  <c r="BH66" i="8"/>
  <c r="BH84" i="8"/>
  <c r="BI81" i="15"/>
  <c r="AU70" i="15"/>
  <c r="BB70" i="15" s="1"/>
  <c r="F73" i="8"/>
  <c r="T76" i="6"/>
  <c r="BI119" i="15"/>
  <c r="BH123" i="8"/>
  <c r="BH82" i="8"/>
  <c r="BI79" i="15"/>
  <c r="BI103" i="15"/>
  <c r="BH106" i="8"/>
  <c r="BI85" i="15"/>
  <c r="BH88" i="8"/>
  <c r="BI71" i="15"/>
  <c r="BH74" i="8"/>
  <c r="BL113" i="6"/>
  <c r="BI106" i="15"/>
  <c r="BH110" i="8"/>
  <c r="BH85" i="8"/>
  <c r="BI82" i="15"/>
  <c r="BI95" i="15"/>
  <c r="BH98" i="8"/>
  <c r="BI83" i="15"/>
  <c r="BH86" i="8"/>
  <c r="BH101" i="8"/>
  <c r="BI97" i="15"/>
  <c r="BH91" i="8"/>
  <c r="BI88" i="15"/>
  <c r="I62" i="8"/>
  <c r="AW59" i="15"/>
  <c r="G65" i="6"/>
  <c r="BC124" i="8"/>
  <c r="BD120" i="15"/>
  <c r="AY124" i="8"/>
  <c r="AY80" i="15"/>
  <c r="K83" i="8"/>
  <c r="K127" i="8"/>
  <c r="AY122" i="15"/>
  <c r="K100" i="8"/>
  <c r="AY96" i="15"/>
  <c r="BG24" i="6"/>
  <c r="BN24" i="6" s="1"/>
  <c r="BX24" i="6"/>
  <c r="BY24" i="6" s="1"/>
  <c r="AY6" i="15"/>
  <c r="K6" i="8"/>
  <c r="BH6" i="15"/>
  <c r="BG6" i="8"/>
  <c r="AZ56" i="15"/>
  <c r="L59" i="8"/>
  <c r="AY114" i="15"/>
  <c r="K118" i="8"/>
  <c r="AZ112" i="15"/>
  <c r="L115" i="8"/>
  <c r="AZ121" i="15"/>
  <c r="L125" i="8"/>
  <c r="AQ59" i="8"/>
  <c r="N61" i="6"/>
  <c r="AQ58" i="8" s="1"/>
  <c r="AN119" i="8"/>
  <c r="AN110" i="8"/>
  <c r="AP119" i="8"/>
  <c r="AD110" i="8"/>
  <c r="AB119" i="8"/>
  <c r="AJ104" i="8"/>
  <c r="AP110" i="8"/>
  <c r="AB110" i="8"/>
  <c r="AB104" i="8"/>
  <c r="AV104" i="8"/>
  <c r="AU104" i="8" s="1"/>
  <c r="T104" i="8"/>
  <c r="S104" i="8" s="1"/>
  <c r="E104" i="8"/>
  <c r="D104" i="8" s="1"/>
  <c r="R110" i="8"/>
  <c r="Q110" i="8" s="1"/>
  <c r="T110" i="8"/>
  <c r="S110" i="8" s="1"/>
  <c r="Z119" i="8"/>
  <c r="Y119" i="8" s="1"/>
  <c r="AX104" i="8"/>
  <c r="AW104" i="8" s="1"/>
  <c r="R104" i="8"/>
  <c r="Q104" i="8" s="1"/>
  <c r="P119" i="8"/>
  <c r="O119" i="8" s="1"/>
  <c r="P110" i="8"/>
  <c r="O110" i="8" s="1"/>
  <c r="AD119" i="8"/>
  <c r="AJ119" i="8"/>
  <c r="AJ110" i="8"/>
  <c r="AD104" i="8"/>
  <c r="AN104" i="8"/>
  <c r="AP104" i="8"/>
  <c r="E110" i="8"/>
  <c r="D110" i="8" s="1"/>
  <c r="AV119" i="8"/>
  <c r="AU119" i="8" s="1"/>
  <c r="AX119" i="8"/>
  <c r="AW119" i="8" s="1"/>
  <c r="T119" i="8"/>
  <c r="S119" i="8" s="1"/>
  <c r="Z110" i="8"/>
  <c r="Y110" i="8" s="1"/>
  <c r="Z104" i="8"/>
  <c r="Y104" i="8" s="1"/>
  <c r="P104" i="8"/>
  <c r="O104" i="8" s="1"/>
  <c r="O90" i="8" s="1"/>
  <c r="R119" i="8"/>
  <c r="Q119" i="8" s="1"/>
  <c r="AV110" i="8"/>
  <c r="AU110" i="8" s="1"/>
  <c r="AX110" i="8"/>
  <c r="AW110" i="8" s="1"/>
  <c r="E119" i="8"/>
  <c r="D119" i="8" s="1"/>
  <c r="K139" i="6"/>
  <c r="N139" i="6"/>
  <c r="Q139" i="6"/>
  <c r="B139" i="6"/>
  <c r="AX115" i="15"/>
  <c r="J119" i="8"/>
  <c r="H122" i="6"/>
  <c r="E122" i="6"/>
  <c r="AT100" i="15"/>
  <c r="AS100" i="15" s="1"/>
  <c r="AT106" i="15"/>
  <c r="AS106" i="15" s="1"/>
  <c r="AT115" i="15"/>
  <c r="AS115" i="15" s="1"/>
  <c r="AZ104" i="8"/>
  <c r="BE100" i="15"/>
  <c r="BD104" i="8"/>
  <c r="Q107" i="6"/>
  <c r="AQ123" i="8"/>
  <c r="N124" i="6"/>
  <c r="B62" i="8"/>
  <c r="B14" i="9" s="1"/>
  <c r="C119" i="8"/>
  <c r="B119" i="8" s="1"/>
  <c r="AU114" i="15"/>
  <c r="F118" i="8"/>
  <c r="T121" i="6"/>
  <c r="AU122" i="15"/>
  <c r="F127" i="8"/>
  <c r="T130" i="6"/>
  <c r="AU57" i="15"/>
  <c r="F60" i="8"/>
  <c r="T63" i="6"/>
  <c r="F77" i="8"/>
  <c r="AU74" i="15"/>
  <c r="BB74" i="15" s="1"/>
  <c r="T80" i="6"/>
  <c r="F116" i="8"/>
  <c r="T119" i="6"/>
  <c r="BG116" i="8" s="1"/>
  <c r="BI61" i="15"/>
  <c r="BH64" i="8"/>
  <c r="BI96" i="15"/>
  <c r="BH100" i="8"/>
  <c r="F83" i="8"/>
  <c r="AU80" i="15"/>
  <c r="BB80" i="15" s="1"/>
  <c r="T86" i="6"/>
  <c r="AU78" i="15"/>
  <c r="BB78" i="15" s="1"/>
  <c r="F81" i="8"/>
  <c r="T84" i="6"/>
  <c r="F78" i="8"/>
  <c r="AU75" i="15"/>
  <c r="T81" i="6"/>
  <c r="AU113" i="15"/>
  <c r="F117" i="8"/>
  <c r="T120" i="6"/>
  <c r="F109" i="8"/>
  <c r="T112" i="6"/>
  <c r="BG109" i="8" s="1"/>
  <c r="BI56" i="15"/>
  <c r="BH60" i="8"/>
  <c r="BH59" i="8"/>
  <c r="AU99" i="15"/>
  <c r="BB99" i="15" s="1"/>
  <c r="F103" i="8"/>
  <c r="T106" i="6"/>
  <c r="AU112" i="15"/>
  <c r="F115" i="8"/>
  <c r="T118" i="6"/>
  <c r="F102" i="8"/>
  <c r="AU98" i="15"/>
  <c r="BB98" i="15" s="1"/>
  <c r="T105" i="6"/>
  <c r="AU121" i="15"/>
  <c r="BB121" i="15" s="1"/>
  <c r="F125" i="8"/>
  <c r="B127" i="6"/>
  <c r="T128" i="6"/>
  <c r="G76" i="6"/>
  <c r="G106" i="6"/>
  <c r="AW55" i="15"/>
  <c r="I58" i="8"/>
  <c r="L123" i="8"/>
  <c r="AZ119" i="15"/>
  <c r="AZ78" i="15"/>
  <c r="L81" i="8"/>
  <c r="K74" i="8"/>
  <c r="AY71" i="15"/>
  <c r="AY56" i="15"/>
  <c r="K59" i="8"/>
  <c r="L118" i="8"/>
  <c r="AZ114" i="15"/>
  <c r="AY112" i="15"/>
  <c r="K115" i="8"/>
  <c r="I124" i="8"/>
  <c r="AW120" i="15"/>
  <c r="K75" i="8"/>
  <c r="AY72" i="15"/>
  <c r="AZ73" i="15"/>
  <c r="L76" i="8"/>
  <c r="AQ125" i="8"/>
  <c r="N127" i="6"/>
  <c r="N65" i="6"/>
  <c r="AQ62" i="8" s="1"/>
  <c r="AQ63" i="8"/>
  <c r="AR104" i="8"/>
  <c r="N107" i="6"/>
  <c r="AQ104" i="8" s="1"/>
  <c r="AG124" i="8"/>
  <c r="AG58" i="8"/>
  <c r="J12" i="9" s="1"/>
  <c r="AZ95" i="15"/>
  <c r="L98" i="8"/>
  <c r="T66" i="6"/>
  <c r="AQ87" i="15"/>
  <c r="BB122" i="15"/>
  <c r="BB114" i="15"/>
  <c r="BB113" i="15"/>
  <c r="BB112" i="15"/>
  <c r="AQ55" i="15"/>
  <c r="BB75" i="15"/>
  <c r="BB57" i="15"/>
  <c r="BB118" i="15"/>
  <c r="AQ117" i="15"/>
  <c r="U121" i="8"/>
  <c r="AU72" i="15"/>
  <c r="BB72" i="15" s="1"/>
  <c r="F75" i="8"/>
  <c r="T78" i="6"/>
  <c r="AU73" i="15"/>
  <c r="BB73" i="15" s="1"/>
  <c r="F76" i="8"/>
  <c r="T79" i="6"/>
  <c r="F114" i="8"/>
  <c r="AU111" i="15"/>
  <c r="BB111" i="15" s="1"/>
  <c r="T117" i="6"/>
  <c r="AU104" i="15"/>
  <c r="BB104" i="15" s="1"/>
  <c r="F107" i="8"/>
  <c r="T110" i="6"/>
  <c r="AU58" i="15"/>
  <c r="BB58" i="15" s="1"/>
  <c r="F61" i="8"/>
  <c r="T64" i="6"/>
  <c r="AU63" i="15"/>
  <c r="BB63" i="15" s="1"/>
  <c r="F66" i="8"/>
  <c r="T69" i="6"/>
  <c r="F84" i="8"/>
  <c r="AU81" i="15"/>
  <c r="BB81" i="15" s="1"/>
  <c r="T87" i="6"/>
  <c r="BH73" i="8"/>
  <c r="BI70" i="15"/>
  <c r="F123" i="8"/>
  <c r="AU119" i="15"/>
  <c r="BB119" i="15" s="1"/>
  <c r="B124" i="6"/>
  <c r="T126" i="6"/>
  <c r="AU79" i="15"/>
  <c r="BB79" i="15" s="1"/>
  <c r="F82" i="8"/>
  <c r="T85" i="6"/>
  <c r="F106" i="8"/>
  <c r="AU103" i="15"/>
  <c r="BB103" i="15" s="1"/>
  <c r="T109" i="6"/>
  <c r="AU85" i="15"/>
  <c r="BB85" i="15" s="1"/>
  <c r="F88" i="8"/>
  <c r="T91" i="6"/>
  <c r="AU71" i="15"/>
  <c r="BB71" i="15" s="1"/>
  <c r="F74" i="8"/>
  <c r="T77" i="6"/>
  <c r="AU106" i="15"/>
  <c r="F110" i="8"/>
  <c r="F104" i="8"/>
  <c r="AU100" i="15"/>
  <c r="U107" i="6"/>
  <c r="AU82" i="15"/>
  <c r="BB82" i="15" s="1"/>
  <c r="F85" i="8"/>
  <c r="T88" i="6"/>
  <c r="T101" i="6"/>
  <c r="F86" i="8"/>
  <c r="AU83" i="15"/>
  <c r="BB83" i="15" s="1"/>
  <c r="T89" i="6"/>
  <c r="F101" i="8"/>
  <c r="AU97" i="15"/>
  <c r="BB97" i="15" s="1"/>
  <c r="T104" i="6"/>
  <c r="AU88" i="15"/>
  <c r="BB88" i="15" s="1"/>
  <c r="F91" i="8"/>
  <c r="B93" i="6"/>
  <c r="T94" i="6"/>
  <c r="K63" i="8"/>
  <c r="AY60" i="15"/>
  <c r="G117" i="6"/>
  <c r="G110" i="6"/>
  <c r="G89" i="6"/>
  <c r="T117" i="15"/>
  <c r="AL110" i="8"/>
  <c r="AL125" i="8"/>
  <c r="AK125" i="8" s="1"/>
  <c r="AL119" i="8"/>
  <c r="AL104" i="8"/>
  <c r="AL81" i="8"/>
  <c r="AK81" i="8" s="1"/>
  <c r="AT81" i="8" s="1"/>
  <c r="AL73" i="8"/>
  <c r="AK73" i="8" s="1"/>
  <c r="AT73" i="8" s="1"/>
  <c r="AL66" i="8"/>
  <c r="AK66" i="8" s="1"/>
  <c r="AT66" i="8" s="1"/>
  <c r="AL117" i="8"/>
  <c r="AK117" i="8" s="1"/>
  <c r="AL76" i="8"/>
  <c r="AK76" i="8" s="1"/>
  <c r="AT76" i="8" s="1"/>
  <c r="AL84" i="8"/>
  <c r="AK84" i="8" s="1"/>
  <c r="AT84" i="8" s="1"/>
  <c r="AL82" i="8"/>
  <c r="AK82" i="8" s="1"/>
  <c r="AT82" i="8" s="1"/>
  <c r="AL83" i="8"/>
  <c r="AK83" i="8" s="1"/>
  <c r="AT83" i="8" s="1"/>
  <c r="AL102" i="8"/>
  <c r="AK102" i="8" s="1"/>
  <c r="AT102" i="8" s="1"/>
  <c r="AL74" i="8"/>
  <c r="AK74" i="8" s="1"/>
  <c r="AT74" i="8" s="1"/>
  <c r="AL75" i="8"/>
  <c r="AK75" i="8" s="1"/>
  <c r="AT75" i="8" s="1"/>
  <c r="AL88" i="8"/>
  <c r="AK88" i="8" s="1"/>
  <c r="AT88" i="8" s="1"/>
  <c r="AL78" i="8"/>
  <c r="AK78" i="8" s="1"/>
  <c r="AT78" i="8" s="1"/>
  <c r="AL109" i="8"/>
  <c r="AK109" i="8" s="1"/>
  <c r="AT109" i="8" s="1"/>
  <c r="AL98" i="8"/>
  <c r="AK98" i="8" s="1"/>
  <c r="AT98" i="8" s="1"/>
  <c r="AL60" i="8"/>
  <c r="AK60" i="8" s="1"/>
  <c r="AT60" i="8" s="1"/>
  <c r="AL103" i="8"/>
  <c r="AK103" i="8" s="1"/>
  <c r="AL61" i="8"/>
  <c r="AK61" i="8" s="1"/>
  <c r="AT61" i="8" s="1"/>
  <c r="AL115" i="8"/>
  <c r="AK115" i="8" s="1"/>
  <c r="AT115" i="8" s="1"/>
  <c r="AL101" i="8"/>
  <c r="AK101" i="8" s="1"/>
  <c r="AT101" i="8" s="1"/>
  <c r="AL107" i="8"/>
  <c r="AK107" i="8" s="1"/>
  <c r="AT107" i="8" s="1"/>
  <c r="AL127" i="8"/>
  <c r="AK127" i="8" s="1"/>
  <c r="AT127" i="8" s="1"/>
  <c r="AL85" i="8"/>
  <c r="AK85" i="8" s="1"/>
  <c r="AT85" i="8" s="1"/>
  <c r="AL99" i="8"/>
  <c r="AK99" i="8" s="1"/>
  <c r="AT99" i="8" s="1"/>
  <c r="AL123" i="8"/>
  <c r="AK123" i="8" s="1"/>
  <c r="AK121" i="8" s="1"/>
  <c r="L15" i="9" s="1"/>
  <c r="O15" i="9" s="1"/>
  <c r="AL86" i="8"/>
  <c r="AK86" i="8" s="1"/>
  <c r="AL77" i="8"/>
  <c r="AK77" i="8" s="1"/>
  <c r="AT77" i="8" s="1"/>
  <c r="AL106" i="8"/>
  <c r="AK106" i="8" s="1"/>
  <c r="AT106" i="8" s="1"/>
  <c r="AL116" i="8"/>
  <c r="AK116" i="8" s="1"/>
  <c r="AT116" i="8" s="1"/>
  <c r="AL63" i="8"/>
  <c r="AK63" i="8" s="1"/>
  <c r="AL64" i="8"/>
  <c r="AK64" i="8" s="1"/>
  <c r="AT64" i="8" s="1"/>
  <c r="AL114" i="8"/>
  <c r="AK114" i="8" s="1"/>
  <c r="AT114" i="8" s="1"/>
  <c r="AL100" i="8"/>
  <c r="AK100" i="8" s="1"/>
  <c r="AT100" i="8" s="1"/>
  <c r="AL118" i="8"/>
  <c r="AK118" i="8" s="1"/>
  <c r="AL59" i="8"/>
  <c r="AK59" i="8" s="1"/>
  <c r="AL91" i="8"/>
  <c r="AK91" i="8" s="1"/>
  <c r="BG23" i="6"/>
  <c r="BN23" i="6" s="1"/>
  <c r="BX23" i="6"/>
  <c r="BY23" i="6" s="1"/>
  <c r="AW117" i="15"/>
  <c r="I121" i="8"/>
  <c r="AY121" i="8"/>
  <c r="BC121" i="8"/>
  <c r="BD117" i="15"/>
  <c r="K81" i="8"/>
  <c r="AY78" i="15"/>
  <c r="AZ75" i="15"/>
  <c r="L78" i="8"/>
  <c r="K77" i="8"/>
  <c r="AY74" i="15"/>
  <c r="BC62" i="8"/>
  <c r="AY62" i="8"/>
  <c r="BD59" i="15"/>
  <c r="BC58" i="8"/>
  <c r="BD55" i="15"/>
  <c r="AY58" i="8"/>
  <c r="G79" i="6"/>
  <c r="AT118" i="8"/>
  <c r="AT117" i="8"/>
  <c r="AT103" i="8"/>
  <c r="N93" i="6"/>
  <c r="AQ91" i="8"/>
  <c r="AT86" i="8"/>
  <c r="AX100" i="15"/>
  <c r="H107" i="6"/>
  <c r="J104" i="8"/>
  <c r="E107" i="6"/>
  <c r="AX106" i="15"/>
  <c r="E113" i="6"/>
  <c r="J110" i="8"/>
  <c r="H113" i="6"/>
  <c r="BD119" i="8"/>
  <c r="BE115" i="15"/>
  <c r="Q122" i="6"/>
  <c r="AZ119" i="8"/>
  <c r="V104" i="8"/>
  <c r="K107" i="6"/>
  <c r="BX107" i="6" s="1"/>
  <c r="BY107" i="6" s="1"/>
  <c r="BD110" i="8"/>
  <c r="BE106" i="15"/>
  <c r="AZ110" i="8"/>
  <c r="Q113" i="6"/>
  <c r="V110" i="8"/>
  <c r="K113" i="6"/>
  <c r="U110" i="8" s="1"/>
  <c r="K122" i="6"/>
  <c r="U119" i="8" s="1"/>
  <c r="V119" i="8"/>
  <c r="B12" i="9"/>
  <c r="B16" i="9"/>
  <c r="C104" i="8"/>
  <c r="B104" i="8" s="1"/>
  <c r="B90" i="8" s="1"/>
  <c r="C110" i="8"/>
  <c r="B110" i="8" s="1"/>
  <c r="BH118" i="8"/>
  <c r="BI114" i="15"/>
  <c r="BH127" i="8"/>
  <c r="BI122" i="15"/>
  <c r="BI74" i="15"/>
  <c r="BH77" i="8"/>
  <c r="F64" i="8"/>
  <c r="AU61" i="15"/>
  <c r="BB61" i="15" s="1"/>
  <c r="T67" i="6"/>
  <c r="AU96" i="15"/>
  <c r="BB96" i="15" s="1"/>
  <c r="F99" i="8"/>
  <c r="F100" i="8"/>
  <c r="T103" i="6"/>
  <c r="BH83" i="8"/>
  <c r="BI80" i="15"/>
  <c r="BH81" i="8"/>
  <c r="BI78" i="15"/>
  <c r="BH78" i="8"/>
  <c r="BI75" i="15"/>
  <c r="BI113" i="15"/>
  <c r="BH117" i="8"/>
  <c r="AU56" i="15"/>
  <c r="BB56" i="15" s="1"/>
  <c r="B61" i="6"/>
  <c r="F59" i="8"/>
  <c r="T62" i="6"/>
  <c r="AU115" i="15"/>
  <c r="F119" i="8"/>
  <c r="U122" i="6"/>
  <c r="BI99" i="15"/>
  <c r="BH103" i="8"/>
  <c r="F98" i="8"/>
  <c r="T102" i="6"/>
  <c r="BG99" i="8" s="1"/>
  <c r="BJ99" i="8" s="1"/>
  <c r="BI112" i="15"/>
  <c r="BH115" i="8"/>
  <c r="BH102" i="8"/>
  <c r="BI98" i="15"/>
  <c r="BI121" i="15"/>
  <c r="BH125" i="8"/>
  <c r="G120" i="6"/>
  <c r="AQ131" i="6"/>
  <c r="T120" i="15"/>
  <c r="G87" i="6"/>
  <c r="G64" i="6"/>
  <c r="G105" i="6"/>
  <c r="G67" i="6"/>
  <c r="T122" i="6" l="1"/>
  <c r="AK62" i="8"/>
  <c r="L14" i="9" s="1"/>
  <c r="O14" i="9" s="1"/>
  <c r="BX122" i="6"/>
  <c r="BY122" i="6" s="1"/>
  <c r="BB106" i="15"/>
  <c r="BB115" i="15"/>
  <c r="Y90" i="8"/>
  <c r="K102" i="8"/>
  <c r="AY98" i="15"/>
  <c r="AY81" i="15"/>
  <c r="K84" i="8"/>
  <c r="BL122" i="6"/>
  <c r="BH119" i="8"/>
  <c r="BI115" i="15"/>
  <c r="F58" i="8"/>
  <c r="AU55" i="15"/>
  <c r="BG64" i="8"/>
  <c r="BJ64" i="8" s="1"/>
  <c r="BH61" i="15"/>
  <c r="AY119" i="8"/>
  <c r="BD115" i="15"/>
  <c r="BC119" i="8"/>
  <c r="AT91" i="8"/>
  <c r="AQ90" i="8"/>
  <c r="AK124" i="8"/>
  <c r="AY104" i="15"/>
  <c r="K107" i="8"/>
  <c r="BG91" i="8"/>
  <c r="BJ91" i="8" s="1"/>
  <c r="BH88" i="15"/>
  <c r="BX113" i="6"/>
  <c r="BY113" i="6" s="1"/>
  <c r="BH71" i="15"/>
  <c r="BG74" i="8"/>
  <c r="BJ74" i="8" s="1"/>
  <c r="BH85" i="15"/>
  <c r="BG88" i="8"/>
  <c r="BJ88" i="8" s="1"/>
  <c r="BG106" i="8"/>
  <c r="BJ106" i="8" s="1"/>
  <c r="BH103" i="15"/>
  <c r="BH79" i="15"/>
  <c r="BG82" i="8"/>
  <c r="BJ82" i="8" s="1"/>
  <c r="BH119" i="15"/>
  <c r="BG123" i="8"/>
  <c r="BJ123" i="8" s="1"/>
  <c r="T124" i="6"/>
  <c r="BN126" i="6"/>
  <c r="BG63" i="8"/>
  <c r="BJ63" i="8" s="1"/>
  <c r="BH60" i="15"/>
  <c r="T65" i="6"/>
  <c r="J16" i="9"/>
  <c r="AT63" i="8"/>
  <c r="K73" i="8"/>
  <c r="AY70" i="15"/>
  <c r="AU120" i="15"/>
  <c r="F124" i="8"/>
  <c r="BJ109" i="8"/>
  <c r="BG77" i="8"/>
  <c r="BJ77" i="8" s="1"/>
  <c r="BH74" i="15"/>
  <c r="BG60" i="8"/>
  <c r="BJ60" i="8" s="1"/>
  <c r="BH57" i="15"/>
  <c r="BG127" i="8"/>
  <c r="BJ127" i="8" s="1"/>
  <c r="BH122" i="15"/>
  <c r="BG118" i="8"/>
  <c r="BJ118" i="8" s="1"/>
  <c r="BH114" i="15"/>
  <c r="R15" i="9"/>
  <c r="AT123" i="8"/>
  <c r="BD100" i="15"/>
  <c r="AY104" i="8"/>
  <c r="BC104" i="8"/>
  <c r="Q93" i="6"/>
  <c r="AS87" i="15"/>
  <c r="L119" i="8"/>
  <c r="AZ115" i="15"/>
  <c r="Q90" i="8"/>
  <c r="S90" i="8"/>
  <c r="AT59" i="8"/>
  <c r="K62" i="8"/>
  <c r="AY59" i="15"/>
  <c r="BG73" i="8"/>
  <c r="BJ73" i="8" s="1"/>
  <c r="BH70" i="15"/>
  <c r="BB120" i="15"/>
  <c r="T123" i="15"/>
  <c r="AQ132" i="6"/>
  <c r="P52" i="12"/>
  <c r="P54" i="12" s="1"/>
  <c r="K64" i="8"/>
  <c r="AY61" i="15"/>
  <c r="K61" i="8"/>
  <c r="AY58" i="15"/>
  <c r="K117" i="8"/>
  <c r="AY113" i="15"/>
  <c r="AI119" i="8"/>
  <c r="AC119" i="8"/>
  <c r="AG119" i="8"/>
  <c r="BH115" i="15"/>
  <c r="BG119" i="8"/>
  <c r="AM119" i="8"/>
  <c r="AA119" i="8"/>
  <c r="AO119" i="8"/>
  <c r="AK119" i="8"/>
  <c r="BN122" i="6"/>
  <c r="BH56" i="15"/>
  <c r="BG59" i="8"/>
  <c r="BJ59" i="8" s="1"/>
  <c r="T61" i="6"/>
  <c r="BG100" i="8"/>
  <c r="BJ100" i="8" s="1"/>
  <c r="BH96" i="15"/>
  <c r="AY110" i="8"/>
  <c r="BD106" i="15"/>
  <c r="BC110" i="8"/>
  <c r="U104" i="8"/>
  <c r="K93" i="6"/>
  <c r="L110" i="8"/>
  <c r="AZ106" i="15"/>
  <c r="I110" i="8"/>
  <c r="AW106" i="15"/>
  <c r="G113" i="6"/>
  <c r="I104" i="8"/>
  <c r="AW100" i="15"/>
  <c r="G107" i="6"/>
  <c r="E93" i="6"/>
  <c r="L104" i="8"/>
  <c r="AZ100" i="15"/>
  <c r="AY73" i="15"/>
  <c r="K76" i="8"/>
  <c r="AK58" i="8"/>
  <c r="AY83" i="15"/>
  <c r="K86" i="8"/>
  <c r="AY111" i="15"/>
  <c r="K114" i="8"/>
  <c r="F90" i="8"/>
  <c r="AU87" i="15"/>
  <c r="BH97" i="15"/>
  <c r="BG101" i="8"/>
  <c r="BJ101" i="8" s="1"/>
  <c r="BH83" i="15"/>
  <c r="BG86" i="8"/>
  <c r="BJ86" i="8" s="1"/>
  <c r="BH95" i="15"/>
  <c r="BG98" i="8"/>
  <c r="BJ98" i="8" s="1"/>
  <c r="BH82" i="15"/>
  <c r="BG85" i="8"/>
  <c r="BJ85" i="8" s="1"/>
  <c r="BI100" i="15"/>
  <c r="BH104" i="8"/>
  <c r="BL107" i="6"/>
  <c r="T107" i="6"/>
  <c r="T113" i="6"/>
  <c r="F121" i="8"/>
  <c r="AU117" i="15"/>
  <c r="BB117" i="15" s="1"/>
  <c r="BG84" i="8"/>
  <c r="BJ84" i="8" s="1"/>
  <c r="BH81" i="15"/>
  <c r="BG66" i="8"/>
  <c r="BJ66" i="8" s="1"/>
  <c r="BH63" i="15"/>
  <c r="BG61" i="8"/>
  <c r="BJ61" i="8" s="1"/>
  <c r="BH58" i="15"/>
  <c r="BG107" i="8"/>
  <c r="BJ107" i="8" s="1"/>
  <c r="BH104" i="15"/>
  <c r="BG114" i="8"/>
  <c r="BJ114" i="8" s="1"/>
  <c r="BH111" i="15"/>
  <c r="BG76" i="8"/>
  <c r="BJ76" i="8" s="1"/>
  <c r="BH73" i="15"/>
  <c r="BG75" i="8"/>
  <c r="BJ75" i="8" s="1"/>
  <c r="BH72" i="15"/>
  <c r="BB87" i="15"/>
  <c r="AT62" i="8"/>
  <c r="AQ124" i="8"/>
  <c r="AT124" i="8" s="1"/>
  <c r="AT125" i="8"/>
  <c r="G127" i="6"/>
  <c r="G61" i="6"/>
  <c r="AY99" i="15"/>
  <c r="K103" i="8"/>
  <c r="BH121" i="15"/>
  <c r="BG125" i="8"/>
  <c r="BJ125" i="8" s="1"/>
  <c r="T127" i="6"/>
  <c r="BH98" i="15"/>
  <c r="BG102" i="8"/>
  <c r="BJ102" i="8" s="1"/>
  <c r="BH112" i="15"/>
  <c r="BG115" i="8"/>
  <c r="BJ115" i="8" s="1"/>
  <c r="BH99" i="15"/>
  <c r="BG103" i="8"/>
  <c r="BJ103" i="8" s="1"/>
  <c r="BH113" i="15"/>
  <c r="BG117" i="8"/>
  <c r="BJ117" i="8" s="1"/>
  <c r="BH75" i="15"/>
  <c r="BG78" i="8"/>
  <c r="BJ78" i="8" s="1"/>
  <c r="BH78" i="15"/>
  <c r="BG81" i="8"/>
  <c r="BJ81" i="8" s="1"/>
  <c r="BG83" i="8"/>
  <c r="BJ83" i="8" s="1"/>
  <c r="BH80" i="15"/>
  <c r="BJ116" i="8"/>
  <c r="R14" i="9"/>
  <c r="AQ121" i="8"/>
  <c r="AT121" i="8" s="1"/>
  <c r="I119" i="8"/>
  <c r="AW115" i="15"/>
  <c r="G122" i="6"/>
  <c r="T140" i="6"/>
  <c r="L139" i="6" s="1"/>
  <c r="O139" i="6"/>
  <c r="AW90" i="8"/>
  <c r="D90" i="8"/>
  <c r="AU90" i="8"/>
  <c r="AT58" i="8"/>
  <c r="BB100" i="15"/>
  <c r="AT119" i="8"/>
  <c r="AY117" i="15"/>
  <c r="K121" i="8"/>
  <c r="C139" i="6" l="1"/>
  <c r="K119" i="8"/>
  <c r="AY115" i="15"/>
  <c r="BH120" i="15"/>
  <c r="BG124" i="8"/>
  <c r="BJ124" i="8" s="1"/>
  <c r="AY120" i="15"/>
  <c r="K124" i="8"/>
  <c r="AM104" i="8"/>
  <c r="AG104" i="8"/>
  <c r="AK104" i="8"/>
  <c r="AC104" i="8"/>
  <c r="BH100" i="15"/>
  <c r="AI104" i="8"/>
  <c r="AA104" i="8"/>
  <c r="AO104" i="8"/>
  <c r="BN107" i="6"/>
  <c r="BG104" i="8"/>
  <c r="BJ104" i="8" s="1"/>
  <c r="AY100" i="15"/>
  <c r="K104" i="8"/>
  <c r="U90" i="8"/>
  <c r="BG58" i="8"/>
  <c r="BJ58" i="8" s="1"/>
  <c r="BH55" i="15"/>
  <c r="BJ119" i="8"/>
  <c r="R139" i="6"/>
  <c r="BG121" i="8"/>
  <c r="BJ121" i="8" s="1"/>
  <c r="BH117" i="15"/>
  <c r="BN124" i="6"/>
  <c r="K58" i="8"/>
  <c r="AY55" i="15"/>
  <c r="AM110" i="8"/>
  <c r="AC110" i="8"/>
  <c r="AO110" i="8"/>
  <c r="AA110" i="8"/>
  <c r="BN113" i="6"/>
  <c r="AG110" i="8"/>
  <c r="AI110" i="8"/>
  <c r="BH106" i="15"/>
  <c r="AK110" i="8"/>
  <c r="BG110" i="8"/>
  <c r="L12" i="9"/>
  <c r="BK58" i="8"/>
  <c r="I90" i="8"/>
  <c r="G93" i="6"/>
  <c r="AW87" i="15"/>
  <c r="K110" i="8"/>
  <c r="AY106" i="15"/>
  <c r="BZ122" i="6"/>
  <c r="BP122" i="6"/>
  <c r="AY90" i="8"/>
  <c r="BD87" i="15"/>
  <c r="BC90" i="8"/>
  <c r="BH59" i="15"/>
  <c r="BG62" i="8"/>
  <c r="BJ62" i="8" s="1"/>
  <c r="BP126" i="6"/>
  <c r="T93" i="6"/>
  <c r="L16" i="9"/>
  <c r="R16" i="9" s="1"/>
  <c r="BH87" i="15" l="1"/>
  <c r="BG90" i="8"/>
  <c r="AY87" i="15"/>
  <c r="K90" i="8"/>
  <c r="BJ110" i="8"/>
  <c r="AT110" i="8"/>
  <c r="O16" i="9"/>
  <c r="BP107" i="6"/>
  <c r="BZ107" i="6"/>
  <c r="AA90" i="8"/>
  <c r="AK90" i="8"/>
  <c r="AM90" i="8"/>
  <c r="O12" i="9"/>
  <c r="R12" i="9"/>
  <c r="BZ113" i="6"/>
  <c r="BP113" i="6"/>
  <c r="AO90" i="8"/>
  <c r="AI90" i="8"/>
  <c r="AC90" i="8"/>
  <c r="AT104" i="8"/>
  <c r="AG90" i="8"/>
  <c r="S139" i="6"/>
  <c r="B141" i="6"/>
  <c r="C141" i="6" s="1"/>
  <c r="B144" i="6"/>
  <c r="C144" i="6" s="1"/>
  <c r="AT90" i="8" l="1"/>
  <c r="BJ90" i="8"/>
  <c r="BP13" i="6"/>
  <c r="BC6" i="6"/>
  <c r="BG13" i="6"/>
  <c r="BH13" i="6" s="1"/>
  <c r="BK13" i="6" s="1"/>
  <c r="BI13" i="6"/>
  <c r="BI6" i="6" s="1"/>
  <c r="AX83" i="6" l="1"/>
  <c r="AW83" i="6" s="1"/>
  <c r="BJ139" i="6"/>
  <c r="BK139" i="6" s="1"/>
  <c r="AX115" i="6"/>
  <c r="AW115" i="6" s="1"/>
  <c r="AW93" i="6" s="1"/>
  <c r="R83" i="6"/>
  <c r="BE115" i="6"/>
  <c r="BD115" i="6" s="1"/>
  <c r="BD93" i="6" s="1"/>
  <c r="L83" i="6"/>
  <c r="L73" i="6"/>
  <c r="O83" i="6"/>
  <c r="BE83" i="6"/>
  <c r="BD83" i="6" s="1"/>
  <c r="C83" i="6"/>
  <c r="O73" i="6"/>
  <c r="BE73" i="6"/>
  <c r="BD73" i="6" s="1"/>
  <c r="R73" i="6"/>
  <c r="F73" i="6"/>
  <c r="C73" i="6"/>
  <c r="AX73" i="6"/>
  <c r="AW73" i="6" s="1"/>
  <c r="AW71" i="6" s="1"/>
  <c r="F83" i="6"/>
  <c r="AH6" i="15"/>
  <c r="BK6" i="8"/>
  <c r="BB115" i="6"/>
  <c r="BB103" i="6"/>
  <c r="BB121" i="6"/>
  <c r="BB109" i="6"/>
  <c r="BB88" i="6"/>
  <c r="BB77" i="6"/>
  <c r="BB85" i="6"/>
  <c r="BB67" i="6"/>
  <c r="BB118" i="6"/>
  <c r="BB79" i="6"/>
  <c r="BB89" i="6"/>
  <c r="BB78" i="6"/>
  <c r="BB104" i="6"/>
  <c r="BB76" i="6"/>
  <c r="BB86" i="6"/>
  <c r="BB81" i="6"/>
  <c r="BB106" i="6"/>
  <c r="BB105" i="6"/>
  <c r="BB117" i="6"/>
  <c r="BB91" i="6"/>
  <c r="BB66" i="6"/>
  <c r="BB64" i="6"/>
  <c r="BB69" i="6"/>
  <c r="BB102" i="6"/>
  <c r="BB101" i="6"/>
  <c r="BB84" i="6"/>
  <c r="BB128" i="6"/>
  <c r="BB80" i="6"/>
  <c r="BB83" i="6"/>
  <c r="BB87" i="6"/>
  <c r="BB119" i="6"/>
  <c r="BB110" i="6"/>
  <c r="BB62" i="6"/>
  <c r="BN13" i="6"/>
  <c r="BX13" i="6"/>
  <c r="BY13" i="6" s="1"/>
  <c r="BB126" i="6"/>
  <c r="BB73" i="6"/>
  <c r="BB120" i="6"/>
  <c r="BB94" i="6"/>
  <c r="BB130" i="6"/>
  <c r="BB63" i="6"/>
  <c r="BB112" i="6"/>
  <c r="BB13" i="6"/>
  <c r="BO13" i="6"/>
  <c r="CA13" i="6"/>
  <c r="BP6" i="6"/>
  <c r="BH112" i="6" l="1"/>
  <c r="BL112" i="6" s="1"/>
  <c r="BA112" i="6"/>
  <c r="BH130" i="6"/>
  <c r="BL130" i="6" s="1"/>
  <c r="BA130" i="6"/>
  <c r="BH120" i="6"/>
  <c r="BL120" i="6" s="1"/>
  <c r="BA120" i="6"/>
  <c r="BH126" i="6"/>
  <c r="BL126" i="6" s="1"/>
  <c r="BA126" i="6"/>
  <c r="BA62" i="6"/>
  <c r="BH62" i="6"/>
  <c r="BL62" i="6" s="1"/>
  <c r="BH119" i="6"/>
  <c r="BL119" i="6" s="1"/>
  <c r="BA119" i="6"/>
  <c r="BH83" i="6"/>
  <c r="BA83" i="6"/>
  <c r="BG83" i="6" s="1"/>
  <c r="BA128" i="6"/>
  <c r="BH128" i="6"/>
  <c r="BL128" i="6" s="1"/>
  <c r="BH101" i="6"/>
  <c r="BL101" i="6" s="1"/>
  <c r="BA101" i="6"/>
  <c r="BH69" i="6"/>
  <c r="BL69" i="6" s="1"/>
  <c r="BA69" i="6"/>
  <c r="BH66" i="6"/>
  <c r="BL66" i="6" s="1"/>
  <c r="BA66" i="6"/>
  <c r="BH117" i="6"/>
  <c r="BL117" i="6" s="1"/>
  <c r="BA117" i="6"/>
  <c r="BH106" i="6"/>
  <c r="BL106" i="6" s="1"/>
  <c r="BA106" i="6"/>
  <c r="BH86" i="6"/>
  <c r="BL86" i="6" s="1"/>
  <c r="BA86" i="6"/>
  <c r="BH104" i="6"/>
  <c r="BL104" i="6" s="1"/>
  <c r="BA104" i="6"/>
  <c r="BH89" i="6"/>
  <c r="BL89" i="6" s="1"/>
  <c r="BA89" i="6"/>
  <c r="BH118" i="6"/>
  <c r="BL118" i="6" s="1"/>
  <c r="BA118" i="6"/>
  <c r="BA85" i="6"/>
  <c r="BH85" i="6"/>
  <c r="BL85" i="6" s="1"/>
  <c r="BH88" i="6"/>
  <c r="BL88" i="6" s="1"/>
  <c r="BA88" i="6"/>
  <c r="BH121" i="6"/>
  <c r="BL121" i="6" s="1"/>
  <c r="BA121" i="6"/>
  <c r="BH115" i="6"/>
  <c r="BL115" i="6" s="1"/>
  <c r="BA115" i="6"/>
  <c r="AT77" i="15"/>
  <c r="AS77" i="15" s="1"/>
  <c r="AR66" i="15"/>
  <c r="AQ66" i="15" s="1"/>
  <c r="AT66" i="15"/>
  <c r="AS66" i="15" s="1"/>
  <c r="AS64" i="15" s="1"/>
  <c r="AS123" i="15" s="1"/>
  <c r="AS124" i="15" s="1"/>
  <c r="AR77" i="15"/>
  <c r="AQ77" i="15" s="1"/>
  <c r="J70" i="8"/>
  <c r="AX66" i="15"/>
  <c r="H73" i="6"/>
  <c r="E73" i="6"/>
  <c r="BD71" i="6"/>
  <c r="AV77" i="15"/>
  <c r="G80" i="8"/>
  <c r="U83" i="6"/>
  <c r="B83" i="6"/>
  <c r="AR80" i="8"/>
  <c r="N83" i="6"/>
  <c r="AQ80" i="8" s="1"/>
  <c r="V80" i="8"/>
  <c r="K83" i="6"/>
  <c r="U80" i="8" s="1"/>
  <c r="AZ80" i="8"/>
  <c r="BE77" i="15"/>
  <c r="Q83" i="6"/>
  <c r="BD80" i="8"/>
  <c r="BA14" i="6"/>
  <c r="BA15" i="6"/>
  <c r="BH63" i="6"/>
  <c r="BL63" i="6" s="1"/>
  <c r="BA63" i="6"/>
  <c r="BH94" i="6"/>
  <c r="BL94" i="6" s="1"/>
  <c r="BA94" i="6"/>
  <c r="BH73" i="6"/>
  <c r="BA73" i="6"/>
  <c r="BH110" i="6"/>
  <c r="BL110" i="6" s="1"/>
  <c r="BA110" i="6"/>
  <c r="BH87" i="6"/>
  <c r="BL87" i="6" s="1"/>
  <c r="BA87" i="6"/>
  <c r="BH80" i="6"/>
  <c r="BL80" i="6" s="1"/>
  <c r="BA80" i="6"/>
  <c r="BH84" i="6"/>
  <c r="BL84" i="6" s="1"/>
  <c r="BA84" i="6"/>
  <c r="BH102" i="6"/>
  <c r="BL102" i="6" s="1"/>
  <c r="BA102" i="6"/>
  <c r="BH64" i="6"/>
  <c r="BL64" i="6" s="1"/>
  <c r="BA64" i="6"/>
  <c r="BH91" i="6"/>
  <c r="BL91" i="6" s="1"/>
  <c r="BA91" i="6"/>
  <c r="BA105" i="6"/>
  <c r="BH105" i="6"/>
  <c r="BL105" i="6" s="1"/>
  <c r="BH81" i="6"/>
  <c r="BL81" i="6" s="1"/>
  <c r="BA81" i="6"/>
  <c r="BH76" i="6"/>
  <c r="BL76" i="6" s="1"/>
  <c r="BA76" i="6"/>
  <c r="BH78" i="6"/>
  <c r="BL78" i="6" s="1"/>
  <c r="BA78" i="6"/>
  <c r="BH79" i="6"/>
  <c r="BL79" i="6" s="1"/>
  <c r="BA79" i="6"/>
  <c r="BH67" i="6"/>
  <c r="BL67" i="6" s="1"/>
  <c r="BA67" i="6"/>
  <c r="BH77" i="6"/>
  <c r="BL77" i="6" s="1"/>
  <c r="BA77" i="6"/>
  <c r="BA109" i="6"/>
  <c r="BH109" i="6"/>
  <c r="BL109" i="6" s="1"/>
  <c r="BH103" i="6"/>
  <c r="BL103" i="6" s="1"/>
  <c r="BA103" i="6"/>
  <c r="AH80" i="8"/>
  <c r="AG80" i="8" s="1"/>
  <c r="AJ80" i="8"/>
  <c r="AI80" i="8" s="1"/>
  <c r="AN80" i="8"/>
  <c r="AM80" i="8" s="1"/>
  <c r="Z80" i="8"/>
  <c r="Y80" i="8" s="1"/>
  <c r="T80" i="8"/>
  <c r="S80" i="8" s="1"/>
  <c r="AX80" i="8"/>
  <c r="AW80" i="8" s="1"/>
  <c r="AP80" i="8"/>
  <c r="AO80" i="8" s="1"/>
  <c r="E80" i="8"/>
  <c r="D80" i="8" s="1"/>
  <c r="AD80" i="8"/>
  <c r="AC80" i="8" s="1"/>
  <c r="AB80" i="8"/>
  <c r="AA80" i="8" s="1"/>
  <c r="AV80" i="8"/>
  <c r="AU80" i="8" s="1"/>
  <c r="AL80" i="8"/>
  <c r="AK80" i="8" s="1"/>
  <c r="R80" i="8"/>
  <c r="P80" i="8"/>
  <c r="AX70" i="8"/>
  <c r="AW70" i="8" s="1"/>
  <c r="E70" i="8"/>
  <c r="D70" i="8" s="1"/>
  <c r="D68" i="8" s="1"/>
  <c r="AH70" i="8"/>
  <c r="AG70" i="8" s="1"/>
  <c r="AG68" i="8" s="1"/>
  <c r="AP70" i="8"/>
  <c r="AO70" i="8" s="1"/>
  <c r="AD70" i="8"/>
  <c r="AC70" i="8" s="1"/>
  <c r="AC68" i="8" s="1"/>
  <c r="T70" i="8"/>
  <c r="S70" i="8" s="1"/>
  <c r="AV70" i="8"/>
  <c r="AU70" i="8" s="1"/>
  <c r="AU68" i="8" s="1"/>
  <c r="R70" i="8"/>
  <c r="Q70" i="8" s="1"/>
  <c r="P70" i="8"/>
  <c r="O70" i="8" s="1"/>
  <c r="C80" i="8"/>
  <c r="B80" i="8" s="1"/>
  <c r="AN70" i="8"/>
  <c r="AM70" i="8" s="1"/>
  <c r="AM68" i="8" s="1"/>
  <c r="AJ70" i="8"/>
  <c r="AI70" i="8" s="1"/>
  <c r="AI68" i="8" s="1"/>
  <c r="AL70" i="8"/>
  <c r="AK70" i="8" s="1"/>
  <c r="AB70" i="8"/>
  <c r="AA70" i="8" s="1"/>
  <c r="AA68" i="8" s="1"/>
  <c r="C70" i="8"/>
  <c r="B70" i="8" s="1"/>
  <c r="Z70" i="8"/>
  <c r="Y70" i="8" s="1"/>
  <c r="Y68" i="8" s="1"/>
  <c r="AX77" i="15"/>
  <c r="E83" i="6"/>
  <c r="H83" i="6"/>
  <c r="J80" i="8"/>
  <c r="G70" i="8"/>
  <c r="AV66" i="15"/>
  <c r="U73" i="6"/>
  <c r="B73" i="6"/>
  <c r="BD70" i="8"/>
  <c r="BE66" i="15"/>
  <c r="AZ70" i="8"/>
  <c r="Q73" i="6"/>
  <c r="AR70" i="8"/>
  <c r="N73" i="6"/>
  <c r="V70" i="8"/>
  <c r="K73" i="6"/>
  <c r="BD131" i="6"/>
  <c r="AW131" i="6"/>
  <c r="S68" i="8" l="1"/>
  <c r="AO68" i="8"/>
  <c r="AO128" i="8" s="1"/>
  <c r="AW132" i="6"/>
  <c r="S52" i="12"/>
  <c r="S54" i="12" s="1"/>
  <c r="U52" i="12"/>
  <c r="U54" i="12" s="1"/>
  <c r="BD132" i="6"/>
  <c r="AQ70" i="8"/>
  <c r="AT70" i="8" s="1"/>
  <c r="N71" i="6"/>
  <c r="BC70" i="8"/>
  <c r="BD66" i="15"/>
  <c r="AY70" i="8"/>
  <c r="Q71" i="6"/>
  <c r="F70" i="8"/>
  <c r="BX73" i="6"/>
  <c r="BY73" i="6" s="1"/>
  <c r="AU66" i="15"/>
  <c r="BB66" i="15" s="1"/>
  <c r="T73" i="6"/>
  <c r="B71" i="6"/>
  <c r="I80" i="8"/>
  <c r="AW77" i="15"/>
  <c r="G83" i="6"/>
  <c r="BQ83" i="6" s="1"/>
  <c r="BR83" i="6" s="1"/>
  <c r="Y128" i="8"/>
  <c r="K50" i="10" s="1"/>
  <c r="G13" i="9"/>
  <c r="G17" i="9" s="1"/>
  <c r="AA128" i="8"/>
  <c r="L50" i="10" s="1"/>
  <c r="H13" i="9"/>
  <c r="H17" i="9" s="1"/>
  <c r="K13" i="9"/>
  <c r="K17" i="9" s="1"/>
  <c r="K24" i="9" s="1"/>
  <c r="AI128" i="8"/>
  <c r="S128" i="8"/>
  <c r="F13" i="9"/>
  <c r="F17" i="9" s="1"/>
  <c r="C13" i="9"/>
  <c r="C17" i="9" s="1"/>
  <c r="D128" i="8"/>
  <c r="C50" i="10" s="1"/>
  <c r="BX103" i="6"/>
  <c r="BY103" i="6" s="1"/>
  <c r="BG103" i="6"/>
  <c r="BN103" i="6" s="1"/>
  <c r="BQ103" i="6"/>
  <c r="BR103" i="6" s="1"/>
  <c r="BQ77" i="6"/>
  <c r="BR77" i="6" s="1"/>
  <c r="BX77" i="6"/>
  <c r="BY77" i="6" s="1"/>
  <c r="BG77" i="6"/>
  <c r="BN77" i="6" s="1"/>
  <c r="BX67" i="6"/>
  <c r="BY67" i="6" s="1"/>
  <c r="BG67" i="6"/>
  <c r="BN67" i="6" s="1"/>
  <c r="BX79" i="6"/>
  <c r="BY79" i="6" s="1"/>
  <c r="BQ79" i="6"/>
  <c r="BR79" i="6" s="1"/>
  <c r="BG79" i="6"/>
  <c r="BN79" i="6" s="1"/>
  <c r="BG78" i="6"/>
  <c r="BN78" i="6" s="1"/>
  <c r="BX78" i="6"/>
  <c r="BY78" i="6" s="1"/>
  <c r="BQ78" i="6"/>
  <c r="BR78" i="6" s="1"/>
  <c r="BX76" i="6"/>
  <c r="BY76" i="6" s="1"/>
  <c r="BG76" i="6"/>
  <c r="BN76" i="6" s="1"/>
  <c r="BQ76" i="6"/>
  <c r="BR76" i="6" s="1"/>
  <c r="BG81" i="6"/>
  <c r="BN81" i="6" s="1"/>
  <c r="BX81" i="6"/>
  <c r="BY81" i="6" s="1"/>
  <c r="BX91" i="6"/>
  <c r="BY91" i="6" s="1"/>
  <c r="BG91" i="6"/>
  <c r="BN91" i="6" s="1"/>
  <c r="BG64" i="6"/>
  <c r="BN64" i="6" s="1"/>
  <c r="BQ64" i="6"/>
  <c r="BR64" i="6" s="1"/>
  <c r="BX64" i="6"/>
  <c r="BY64" i="6" s="1"/>
  <c r="BX102" i="6"/>
  <c r="BY102" i="6" s="1"/>
  <c r="BG102" i="6"/>
  <c r="BN102" i="6" s="1"/>
  <c r="BX84" i="6"/>
  <c r="BY84" i="6" s="1"/>
  <c r="BG84" i="6"/>
  <c r="BN84" i="6" s="1"/>
  <c r="BX80" i="6"/>
  <c r="BY80" i="6" s="1"/>
  <c r="BQ80" i="6"/>
  <c r="BR80" i="6" s="1"/>
  <c r="BG80" i="6"/>
  <c r="BN80" i="6" s="1"/>
  <c r="BX87" i="6"/>
  <c r="BY87" i="6" s="1"/>
  <c r="BQ87" i="6"/>
  <c r="BR87" i="6" s="1"/>
  <c r="BG87" i="6"/>
  <c r="BN87" i="6" s="1"/>
  <c r="BQ110" i="6"/>
  <c r="BR110" i="6" s="1"/>
  <c r="BX110" i="6"/>
  <c r="BY110" i="6" s="1"/>
  <c r="BG110" i="6"/>
  <c r="BN110" i="6" s="1"/>
  <c r="BA71" i="6"/>
  <c r="BG73" i="6"/>
  <c r="BX94" i="6"/>
  <c r="BY94" i="6" s="1"/>
  <c r="BG94" i="6"/>
  <c r="BA93" i="6"/>
  <c r="BG63" i="6"/>
  <c r="BN63" i="6" s="1"/>
  <c r="BX63" i="6"/>
  <c r="BY63" i="6" s="1"/>
  <c r="BG15" i="6"/>
  <c r="BX15" i="6"/>
  <c r="BY15" i="6" s="1"/>
  <c r="AT80" i="8"/>
  <c r="AU77" i="15"/>
  <c r="F80" i="8"/>
  <c r="BX83" i="6"/>
  <c r="BY83" i="6" s="1"/>
  <c r="T83" i="6"/>
  <c r="AW66" i="15"/>
  <c r="I70" i="8"/>
  <c r="G73" i="6"/>
  <c r="E71" i="6"/>
  <c r="BB77" i="15"/>
  <c r="AQ64" i="15"/>
  <c r="BG115" i="6"/>
  <c r="BN115" i="6" s="1"/>
  <c r="BX115" i="6"/>
  <c r="BY115" i="6" s="1"/>
  <c r="BG121" i="6"/>
  <c r="BN121" i="6" s="1"/>
  <c r="BX121" i="6"/>
  <c r="BY121" i="6" s="1"/>
  <c r="BQ121" i="6"/>
  <c r="BR121" i="6" s="1"/>
  <c r="BQ88" i="6"/>
  <c r="BR88" i="6" s="1"/>
  <c r="BG88" i="6"/>
  <c r="BN88" i="6" s="1"/>
  <c r="BX88" i="6"/>
  <c r="BY88" i="6" s="1"/>
  <c r="BX118" i="6"/>
  <c r="BY118" i="6" s="1"/>
  <c r="BG118" i="6"/>
  <c r="BN118" i="6" s="1"/>
  <c r="BQ118" i="6"/>
  <c r="BR118" i="6" s="1"/>
  <c r="BG89" i="6"/>
  <c r="BN89" i="6" s="1"/>
  <c r="BX89" i="6"/>
  <c r="BY89" i="6" s="1"/>
  <c r="BG104" i="6"/>
  <c r="BN104" i="6" s="1"/>
  <c r="BX104" i="6"/>
  <c r="BY104" i="6" s="1"/>
  <c r="BQ104" i="6"/>
  <c r="BR104" i="6" s="1"/>
  <c r="BQ86" i="6"/>
  <c r="BR86" i="6" s="1"/>
  <c r="BG86" i="6"/>
  <c r="BN86" i="6" s="1"/>
  <c r="BX86" i="6"/>
  <c r="BY86" i="6" s="1"/>
  <c r="BX106" i="6"/>
  <c r="BY106" i="6" s="1"/>
  <c r="BG106" i="6"/>
  <c r="BN106" i="6" s="1"/>
  <c r="BQ106" i="6"/>
  <c r="BR106" i="6" s="1"/>
  <c r="BG117" i="6"/>
  <c r="BN117" i="6" s="1"/>
  <c r="BQ117" i="6"/>
  <c r="BR117" i="6" s="1"/>
  <c r="BX117" i="6"/>
  <c r="BY117" i="6" s="1"/>
  <c r="BQ66" i="6"/>
  <c r="BR66" i="6" s="1"/>
  <c r="BX66" i="6"/>
  <c r="BY66" i="6" s="1"/>
  <c r="BA65" i="6"/>
  <c r="BG66" i="6"/>
  <c r="BN66" i="6" s="1"/>
  <c r="BG69" i="6"/>
  <c r="BN69" i="6" s="1"/>
  <c r="BX69" i="6"/>
  <c r="BY69" i="6" s="1"/>
  <c r="BX101" i="6"/>
  <c r="BY101" i="6" s="1"/>
  <c r="BG101" i="6"/>
  <c r="BN101" i="6" s="1"/>
  <c r="BN83" i="6"/>
  <c r="BX119" i="6"/>
  <c r="BY119" i="6" s="1"/>
  <c r="BG119" i="6"/>
  <c r="BN119" i="6" s="1"/>
  <c r="BQ126" i="6"/>
  <c r="BR126" i="6" s="1"/>
  <c r="BA124" i="6"/>
  <c r="BX126" i="6"/>
  <c r="BX120" i="6"/>
  <c r="BY120" i="6" s="1"/>
  <c r="BQ120" i="6"/>
  <c r="BR120" i="6" s="1"/>
  <c r="BG120" i="6"/>
  <c r="BN120" i="6" s="1"/>
  <c r="BX130" i="6"/>
  <c r="BY130" i="6" s="1"/>
  <c r="BG130" i="6"/>
  <c r="BN130" i="6" s="1"/>
  <c r="BX112" i="6"/>
  <c r="BY112" i="6" s="1"/>
  <c r="BG112" i="6"/>
  <c r="BN112" i="6" s="1"/>
  <c r="U70" i="8"/>
  <c r="K71" i="6"/>
  <c r="BH70" i="8"/>
  <c r="BI66" i="15"/>
  <c r="L80" i="8"/>
  <c r="AZ77" i="15"/>
  <c r="B68" i="8"/>
  <c r="AK68" i="8"/>
  <c r="AM128" i="8"/>
  <c r="M13" i="9"/>
  <c r="M17" i="9" s="1"/>
  <c r="AU128" i="8"/>
  <c r="AU1" i="8" s="1"/>
  <c r="P13" i="9"/>
  <c r="P17" i="9" s="1"/>
  <c r="AC128" i="8"/>
  <c r="I13" i="9"/>
  <c r="I17" i="9" s="1"/>
  <c r="AG128" i="8"/>
  <c r="AG1" i="8" s="1"/>
  <c r="J13" i="9"/>
  <c r="J17" i="9" s="1"/>
  <c r="J24" i="9" s="1"/>
  <c r="AW68" i="8"/>
  <c r="BG109" i="6"/>
  <c r="BN109" i="6" s="1"/>
  <c r="BX109" i="6"/>
  <c r="BY109" i="6" s="1"/>
  <c r="BX105" i="6"/>
  <c r="BY105" i="6" s="1"/>
  <c r="BQ105" i="6"/>
  <c r="BR105" i="6" s="1"/>
  <c r="BG105" i="6"/>
  <c r="BN105" i="6" s="1"/>
  <c r="BL73" i="6"/>
  <c r="BX14" i="6"/>
  <c r="BY14" i="6" s="1"/>
  <c r="BG14" i="6"/>
  <c r="BG6" i="6" s="1"/>
  <c r="BA6" i="6"/>
  <c r="BC80" i="8"/>
  <c r="AY80" i="8"/>
  <c r="BD77" i="15"/>
  <c r="BI77" i="15"/>
  <c r="BH80" i="8"/>
  <c r="AZ66" i="15"/>
  <c r="L70" i="8"/>
  <c r="BG85" i="6"/>
  <c r="BN85" i="6" s="1"/>
  <c r="BX85" i="6"/>
  <c r="BY85" i="6" s="1"/>
  <c r="BX128" i="6"/>
  <c r="BY128" i="6" s="1"/>
  <c r="BA127" i="6"/>
  <c r="BX127" i="6" s="1"/>
  <c r="BY127" i="6" s="1"/>
  <c r="BG128" i="6"/>
  <c r="BL83" i="6"/>
  <c r="BG62" i="6"/>
  <c r="BX62" i="6"/>
  <c r="BY62" i="6" s="1"/>
  <c r="BA61" i="6"/>
  <c r="N13" i="9" l="1"/>
  <c r="N17" i="9" s="1"/>
  <c r="BQ61" i="6"/>
  <c r="BR61" i="6" s="1"/>
  <c r="BX61" i="6"/>
  <c r="BY61" i="6" s="1"/>
  <c r="BG61" i="6"/>
  <c r="BN62" i="6"/>
  <c r="BG127" i="6"/>
  <c r="BN127" i="6" s="1"/>
  <c r="BN128" i="6"/>
  <c r="BP85" i="6"/>
  <c r="BZ85" i="6"/>
  <c r="BN14" i="6"/>
  <c r="BH14" i="6"/>
  <c r="BB14" i="6"/>
  <c r="BP105" i="6"/>
  <c r="BZ105" i="6"/>
  <c r="BZ109" i="6"/>
  <c r="BP109" i="6"/>
  <c r="J82" i="9"/>
  <c r="O25" i="14"/>
  <c r="J29" i="9"/>
  <c r="J22" i="9" s="1"/>
  <c r="O31" i="10"/>
  <c r="P23" i="9"/>
  <c r="R49" i="14"/>
  <c r="AM1" i="8"/>
  <c r="R50" i="10"/>
  <c r="B13" i="9"/>
  <c r="B128" i="8"/>
  <c r="K131" i="6"/>
  <c r="U68" i="8"/>
  <c r="BP112" i="6"/>
  <c r="BZ112" i="6"/>
  <c r="AN130" i="6"/>
  <c r="BZ130" i="6"/>
  <c r="BP130" i="6"/>
  <c r="BP120" i="6"/>
  <c r="BZ120" i="6"/>
  <c r="BQ124" i="6"/>
  <c r="BR124" i="6" s="1"/>
  <c r="BX124" i="6"/>
  <c r="BA131" i="6"/>
  <c r="BP119" i="6"/>
  <c r="BZ119" i="6"/>
  <c r="BP83" i="6"/>
  <c r="BZ83" i="6"/>
  <c r="BP69" i="6"/>
  <c r="BZ69" i="6"/>
  <c r="BX65" i="6"/>
  <c r="BY65" i="6" s="1"/>
  <c r="BQ65" i="6"/>
  <c r="BR65" i="6" s="1"/>
  <c r="BG65" i="6"/>
  <c r="BP86" i="6"/>
  <c r="BZ86" i="6"/>
  <c r="BZ104" i="6"/>
  <c r="BP104" i="6"/>
  <c r="BP89" i="6"/>
  <c r="BZ89" i="6"/>
  <c r="BZ118" i="6"/>
  <c r="BP118" i="6"/>
  <c r="AQ123" i="15"/>
  <c r="AQ125" i="15" s="1"/>
  <c r="AY66" i="15"/>
  <c r="K70" i="8"/>
  <c r="Q80" i="8"/>
  <c r="Q68" i="8" s="1"/>
  <c r="O80" i="8"/>
  <c r="O68" i="8" s="1"/>
  <c r="BH77" i="15"/>
  <c r="BG80" i="8"/>
  <c r="BN15" i="6"/>
  <c r="BH15" i="6"/>
  <c r="BX93" i="6"/>
  <c r="BY93" i="6" s="1"/>
  <c r="BQ93" i="6"/>
  <c r="BR93" i="6" s="1"/>
  <c r="BP87" i="6"/>
  <c r="BZ87" i="6"/>
  <c r="BP84" i="6"/>
  <c r="BZ84" i="6"/>
  <c r="BZ102" i="6"/>
  <c r="BP102" i="6"/>
  <c r="BZ64" i="6"/>
  <c r="BP64" i="6"/>
  <c r="BZ81" i="6"/>
  <c r="BP81" i="6"/>
  <c r="BZ76" i="6"/>
  <c r="BP76" i="6"/>
  <c r="BZ78" i="6"/>
  <c r="BP78" i="6"/>
  <c r="BP67" i="6"/>
  <c r="BZ67" i="6"/>
  <c r="BP77" i="6"/>
  <c r="BZ77" i="6"/>
  <c r="BZ103" i="6"/>
  <c r="BP103" i="6"/>
  <c r="P25" i="14"/>
  <c r="P31" i="10"/>
  <c r="K29" i="9"/>
  <c r="K22" i="9" s="1"/>
  <c r="AU64" i="15"/>
  <c r="BB64" i="15" s="1"/>
  <c r="BX71" i="6"/>
  <c r="BY71" i="6" s="1"/>
  <c r="F68" i="8"/>
  <c r="B131" i="6"/>
  <c r="BQ73" i="6"/>
  <c r="BR73" i="6" s="1"/>
  <c r="AW128" i="8"/>
  <c r="Q13" i="9"/>
  <c r="Q17" i="9" s="1"/>
  <c r="Q80" i="9" s="1"/>
  <c r="AW1" i="8" s="1"/>
  <c r="M80" i="9"/>
  <c r="M30" i="9"/>
  <c r="L13" i="9"/>
  <c r="L17" i="9" s="1"/>
  <c r="L24" i="9" s="1"/>
  <c r="AK128" i="8"/>
  <c r="BZ126" i="6"/>
  <c r="BY126" i="6"/>
  <c r="BZ101" i="6"/>
  <c r="BP101" i="6"/>
  <c r="BZ66" i="6"/>
  <c r="BN65" i="6"/>
  <c r="BZ65" i="6" s="1"/>
  <c r="BP66" i="6"/>
  <c r="BZ117" i="6"/>
  <c r="BP117" i="6"/>
  <c r="BZ106" i="6"/>
  <c r="BP106" i="6"/>
  <c r="BP88" i="6"/>
  <c r="BZ88" i="6"/>
  <c r="BP121" i="6"/>
  <c r="BZ121" i="6"/>
  <c r="BZ115" i="6"/>
  <c r="BP115" i="6"/>
  <c r="I68" i="8"/>
  <c r="E131" i="6"/>
  <c r="AW64" i="15"/>
  <c r="G71" i="6"/>
  <c r="BB15" i="6"/>
  <c r="BZ63" i="6"/>
  <c r="BP63" i="6"/>
  <c r="BN94" i="6"/>
  <c r="BG93" i="6"/>
  <c r="BN93" i="6" s="1"/>
  <c r="BZ93" i="6" s="1"/>
  <c r="BN73" i="6"/>
  <c r="BG71" i="6"/>
  <c r="BZ110" i="6"/>
  <c r="BP110" i="6"/>
  <c r="BZ80" i="6"/>
  <c r="BP80" i="6"/>
  <c r="BP91" i="6"/>
  <c r="BZ91" i="6"/>
  <c r="BZ79" i="6"/>
  <c r="BP79" i="6"/>
  <c r="C30" i="9"/>
  <c r="C80" i="9"/>
  <c r="C18" i="9"/>
  <c r="H80" i="9"/>
  <c r="G80" i="9"/>
  <c r="K80" i="8"/>
  <c r="AY77" i="15"/>
  <c r="BH66" i="15"/>
  <c r="BG70" i="8"/>
  <c r="BJ70" i="8" s="1"/>
  <c r="T71" i="6"/>
  <c r="AY68" i="8"/>
  <c r="BD64" i="15"/>
  <c r="BC68" i="8"/>
  <c r="Q131" i="6"/>
  <c r="N131" i="6"/>
  <c r="AQ68" i="8"/>
  <c r="AT68" i="8" s="1"/>
  <c r="BN6" i="6" l="1"/>
  <c r="BN4" i="6" s="1"/>
  <c r="Q132" i="6"/>
  <c r="AY128" i="8"/>
  <c r="BD123" i="15"/>
  <c r="G52" i="12"/>
  <c r="V47" i="14"/>
  <c r="BC128" i="8"/>
  <c r="BH64" i="15"/>
  <c r="BG68" i="8"/>
  <c r="BJ68" i="8" s="1"/>
  <c r="T131" i="6"/>
  <c r="BN71" i="6"/>
  <c r="BZ71" i="6" s="1"/>
  <c r="P33" i="10"/>
  <c r="P32" i="10"/>
  <c r="P48" i="10"/>
  <c r="P50" i="10" s="1"/>
  <c r="Q128" i="8"/>
  <c r="E13" i="9"/>
  <c r="E17" i="9" s="1"/>
  <c r="T52" i="12"/>
  <c r="T54" i="12" s="1"/>
  <c r="BA132" i="6"/>
  <c r="BG132" i="6" s="1"/>
  <c r="BG131" i="6"/>
  <c r="O28" i="14"/>
  <c r="O26" i="14"/>
  <c r="O27" i="14"/>
  <c r="O29" i="14"/>
  <c r="O47" i="14"/>
  <c r="O49" i="14" s="1"/>
  <c r="BP127" i="6"/>
  <c r="BZ127" i="6"/>
  <c r="N132" i="6"/>
  <c r="AQ128" i="8"/>
  <c r="F52" i="12"/>
  <c r="BP73" i="6"/>
  <c r="BZ73" i="6"/>
  <c r="BP94" i="6"/>
  <c r="BZ94" i="6"/>
  <c r="K68" i="8"/>
  <c r="G131" i="6"/>
  <c r="AY64" i="15"/>
  <c r="E132" i="6"/>
  <c r="I128" i="8"/>
  <c r="C49" i="14" s="1"/>
  <c r="C52" i="12"/>
  <c r="AW123" i="15"/>
  <c r="Q31" i="10"/>
  <c r="Q25" i="14"/>
  <c r="L29" i="9"/>
  <c r="L22" i="9" s="1"/>
  <c r="F128" i="8"/>
  <c r="B132" i="6"/>
  <c r="BX131" i="6"/>
  <c r="BY131" i="6" s="1"/>
  <c r="B52" i="12"/>
  <c r="B54" i="12" s="1"/>
  <c r="AU123" i="15"/>
  <c r="K30" i="9"/>
  <c r="K21" i="9"/>
  <c r="K80" i="9"/>
  <c r="P26" i="14"/>
  <c r="P27" i="14"/>
  <c r="P47" i="14"/>
  <c r="P49" i="14" s="1"/>
  <c r="P28" i="14"/>
  <c r="P29" i="14"/>
  <c r="BJ80" i="8"/>
  <c r="O128" i="8"/>
  <c r="Q1" i="8" s="1"/>
  <c r="D13" i="9"/>
  <c r="BZ124" i="6"/>
  <c r="BY124" i="6"/>
  <c r="U128" i="8"/>
  <c r="E52" i="12"/>
  <c r="K132" i="6"/>
  <c r="R13" i="9"/>
  <c r="R17" i="9" s="1"/>
  <c r="B17" i="9"/>
  <c r="B24" i="9" s="1"/>
  <c r="P29" i="9"/>
  <c r="V8" i="10"/>
  <c r="O33" i="10"/>
  <c r="O48" i="10"/>
  <c r="O50" i="10" s="1"/>
  <c r="O32" i="10"/>
  <c r="J83" i="9"/>
  <c r="J80" i="9"/>
  <c r="J21" i="9"/>
  <c r="BZ128" i="6"/>
  <c r="BP128" i="6"/>
  <c r="AN128" i="6"/>
  <c r="AN127" i="6" s="1"/>
  <c r="AN131" i="6" s="1"/>
  <c r="O52" i="12" s="1"/>
  <c r="O54" i="12" s="1"/>
  <c r="BP62" i="6"/>
  <c r="BZ62" i="6"/>
  <c r="BN61" i="6"/>
  <c r="BZ61" i="6" s="1"/>
  <c r="BQ71" i="6"/>
  <c r="BR71" i="6" s="1"/>
  <c r="P83" i="9" l="1"/>
  <c r="P80" i="9"/>
  <c r="B25" i="14"/>
  <c r="B29" i="9"/>
  <c r="B22" i="9" s="1"/>
  <c r="B31" i="10"/>
  <c r="Q28" i="14"/>
  <c r="Q26" i="14"/>
  <c r="Q47" i="14"/>
  <c r="Q49" i="14" s="1"/>
  <c r="Q27" i="14"/>
  <c r="Q29" i="14"/>
  <c r="C54" i="12"/>
  <c r="C53" i="12"/>
  <c r="AY123" i="15"/>
  <c r="K128" i="8"/>
  <c r="G132" i="6"/>
  <c r="D52" i="12"/>
  <c r="D54" i="12" s="1"/>
  <c r="F53" i="12"/>
  <c r="F54" i="12"/>
  <c r="BM132" i="6"/>
  <c r="V52" i="12"/>
  <c r="V54" i="12" s="1"/>
  <c r="G53" i="12"/>
  <c r="G54" i="12"/>
  <c r="X8" i="10"/>
  <c r="V6" i="10"/>
  <c r="P21" i="9"/>
  <c r="E54" i="12"/>
  <c r="E53" i="12"/>
  <c r="O13" i="9"/>
  <c r="D17" i="9"/>
  <c r="L80" i="9"/>
  <c r="L30" i="9"/>
  <c r="L21" i="9"/>
  <c r="Q32" i="10"/>
  <c r="Q33" i="10"/>
  <c r="Q48" i="10"/>
  <c r="Q50" i="10" s="1"/>
  <c r="BN131" i="6"/>
  <c r="BQ131" i="6"/>
  <c r="BR131" i="6" s="1"/>
  <c r="E19" i="9"/>
  <c r="E23" i="9" s="1"/>
  <c r="F19" i="9"/>
  <c r="F23" i="9" s="1"/>
  <c r="H19" i="9"/>
  <c r="H23" i="9" s="1"/>
  <c r="G19" i="9"/>
  <c r="G23" i="9" s="1"/>
  <c r="I19" i="9"/>
  <c r="I23" i="9" s="1"/>
  <c r="P19" i="9"/>
  <c r="N19" i="9"/>
  <c r="N23" i="9" s="1"/>
  <c r="T132" i="6"/>
  <c r="BG128" i="8"/>
  <c r="BH123" i="15"/>
  <c r="H52" i="12"/>
  <c r="V49" i="14"/>
  <c r="G21" i="9" l="1"/>
  <c r="G24" i="9"/>
  <c r="H7" i="10"/>
  <c r="H6" i="10" s="1"/>
  <c r="F24" i="9"/>
  <c r="G7" i="14"/>
  <c r="G7" i="10"/>
  <c r="R23" i="9"/>
  <c r="O23" i="9"/>
  <c r="BZ131" i="6"/>
  <c r="BP131" i="6"/>
  <c r="X6" i="10"/>
  <c r="X48" i="10" s="1"/>
  <c r="V48" i="10"/>
  <c r="V50" i="10" s="1"/>
  <c r="B30" i="9"/>
  <c r="B80" i="9"/>
  <c r="B21" i="9"/>
  <c r="H54" i="12"/>
  <c r="X52" i="12"/>
  <c r="D92" i="12"/>
  <c r="H53" i="12"/>
  <c r="D93" i="12"/>
  <c r="AB50" i="10"/>
  <c r="X49" i="14"/>
  <c r="BJ128" i="8"/>
  <c r="S7" i="10"/>
  <c r="S6" i="10" s="1"/>
  <c r="S7" i="14"/>
  <c r="S6" i="14" s="1"/>
  <c r="N24" i="9"/>
  <c r="M7" i="14"/>
  <c r="M6" i="14" s="1"/>
  <c r="M7" i="10"/>
  <c r="I24" i="9"/>
  <c r="H21" i="9"/>
  <c r="L7" i="14"/>
  <c r="H24" i="9"/>
  <c r="E24" i="9"/>
  <c r="D24" i="9"/>
  <c r="O17" i="9"/>
  <c r="B48" i="10"/>
  <c r="B50" i="10" s="1"/>
  <c r="D31" i="10"/>
  <c r="D48" i="10" s="1"/>
  <c r="B33" i="10"/>
  <c r="D33" i="10" s="1"/>
  <c r="B32" i="10"/>
  <c r="D32" i="10" s="1"/>
  <c r="B26" i="14"/>
  <c r="D26" i="14" s="1"/>
  <c r="D25" i="14"/>
  <c r="D47" i="14" s="1"/>
  <c r="B47" i="14"/>
  <c r="B49" i="14" s="1"/>
  <c r="G25" i="14" l="1"/>
  <c r="G31" i="10"/>
  <c r="T7" i="14"/>
  <c r="L6" i="14"/>
  <c r="T6" i="14" s="1"/>
  <c r="M25" i="14"/>
  <c r="M31" i="10"/>
  <c r="I29" i="9"/>
  <c r="AB51" i="12"/>
  <c r="X54" i="12"/>
  <c r="U23" i="9"/>
  <c r="W23" i="9"/>
  <c r="R21" i="9"/>
  <c r="R22" i="9" s="1"/>
  <c r="G6" i="14"/>
  <c r="I6" i="14" s="1"/>
  <c r="I7" i="14"/>
  <c r="H31" i="10"/>
  <c r="F29" i="9"/>
  <c r="K25" i="14"/>
  <c r="G22" i="9"/>
  <c r="O1" i="8"/>
  <c r="F31" i="10"/>
  <c r="F25" i="14"/>
  <c r="O24" i="9"/>
  <c r="D29" i="9"/>
  <c r="R24" i="9"/>
  <c r="L25" i="14"/>
  <c r="H22" i="9"/>
  <c r="T7" i="10"/>
  <c r="M6" i="10"/>
  <c r="T6" i="10" s="1"/>
  <c r="S31" i="10"/>
  <c r="S25" i="14"/>
  <c r="V25" i="14"/>
  <c r="N29" i="9"/>
  <c r="F88" i="12"/>
  <c r="K88" i="12"/>
  <c r="F91" i="12"/>
  <c r="F93" i="12" s="1"/>
  <c r="F96" i="12"/>
  <c r="F87" i="12"/>
  <c r="E96" i="12"/>
  <c r="D97" i="12"/>
  <c r="E97" i="12" s="1"/>
  <c r="F90" i="12"/>
  <c r="E29" i="9"/>
  <c r="E22" i="9" s="1"/>
  <c r="I7" i="10"/>
  <c r="G6" i="10"/>
  <c r="I6" i="10" s="1"/>
  <c r="F92" i="12" l="1"/>
  <c r="K78" i="12"/>
  <c r="K80" i="12"/>
  <c r="K81" i="12"/>
  <c r="N80" i="9"/>
  <c r="N30" i="9"/>
  <c r="N21" i="9"/>
  <c r="S29" i="14"/>
  <c r="S26" i="14"/>
  <c r="S27" i="14"/>
  <c r="S28" i="14"/>
  <c r="N22" i="9"/>
  <c r="L28" i="14"/>
  <c r="L26" i="14"/>
  <c r="L27" i="14"/>
  <c r="L29" i="14"/>
  <c r="L47" i="14"/>
  <c r="L49" i="14" s="1"/>
  <c r="D80" i="9"/>
  <c r="D30" i="9"/>
  <c r="O29" i="9"/>
  <c r="O22" i="9" s="1"/>
  <c r="D21" i="9"/>
  <c r="R29" i="9"/>
  <c r="T24" i="9" s="1"/>
  <c r="F47" i="14"/>
  <c r="F49" i="14" s="1"/>
  <c r="I25" i="14"/>
  <c r="I47" i="14" s="1"/>
  <c r="F26" i="14"/>
  <c r="F28" i="14"/>
  <c r="F29" i="14"/>
  <c r="I29" i="14" s="1"/>
  <c r="F27" i="14"/>
  <c r="D22" i="9"/>
  <c r="F80" i="9"/>
  <c r="F21" i="9"/>
  <c r="H32" i="10"/>
  <c r="H48" i="10"/>
  <c r="H33" i="10"/>
  <c r="I80" i="9"/>
  <c r="I30" i="9"/>
  <c r="I21" i="9"/>
  <c r="M32" i="10"/>
  <c r="M48" i="10"/>
  <c r="M50" i="10" s="1"/>
  <c r="T31" i="10"/>
  <c r="T48" i="10" s="1"/>
  <c r="M33" i="10"/>
  <c r="G32" i="10"/>
  <c r="G33" i="10"/>
  <c r="G48" i="10"/>
  <c r="G50" i="10" s="1"/>
  <c r="E30" i="9"/>
  <c r="E80" i="9"/>
  <c r="E21" i="9"/>
  <c r="V29" i="14"/>
  <c r="V28" i="14"/>
  <c r="V26" i="14"/>
  <c r="S32" i="10"/>
  <c r="S33" i="10"/>
  <c r="S48" i="10"/>
  <c r="S50" i="10" s="1"/>
  <c r="U24" i="9"/>
  <c r="F48" i="10"/>
  <c r="F50" i="10" s="1"/>
  <c r="F33" i="10"/>
  <c r="I31" i="10"/>
  <c r="I48" i="10" s="1"/>
  <c r="F32" i="10"/>
  <c r="K29" i="14"/>
  <c r="T29" i="14" s="1"/>
  <c r="T25" i="14"/>
  <c r="K47" i="14"/>
  <c r="K49" i="14" s="1"/>
  <c r="K26" i="14"/>
  <c r="K27" i="14"/>
  <c r="K28" i="14"/>
  <c r="F22" i="9"/>
  <c r="X23" i="9"/>
  <c r="W25" i="9"/>
  <c r="W24" i="9" s="1"/>
  <c r="X24" i="9" s="1"/>
  <c r="I22" i="9"/>
  <c r="M27" i="14"/>
  <c r="M29" i="14"/>
  <c r="M47" i="14"/>
  <c r="M49" i="14" s="1"/>
  <c r="M26" i="14"/>
  <c r="M28" i="14"/>
  <c r="G26" i="14"/>
  <c r="G29" i="14"/>
  <c r="G27" i="14"/>
  <c r="G28" i="14"/>
  <c r="G47" i="14"/>
  <c r="G49" i="14" s="1"/>
  <c r="I32" i="10" l="1"/>
  <c r="T33" i="10"/>
  <c r="I26" i="14"/>
  <c r="T28" i="14"/>
  <c r="T26" i="14"/>
  <c r="T47" i="14"/>
  <c r="T27" i="14"/>
  <c r="I33" i="10"/>
  <c r="T32" i="10"/>
  <c r="Z32" i="10" s="1"/>
  <c r="AA32" i="10" s="1"/>
  <c r="I27" i="14"/>
  <c r="I28" i="14"/>
  <c r="R30" i="9"/>
  <c r="R80" i="9"/>
  <c r="Q85" i="9" s="1"/>
  <c r="T23" i="9"/>
  <c r="T29" i="9" s="1"/>
  <c r="O80" i="9"/>
  <c r="O30" i="9"/>
  <c r="O21" i="9"/>
</calcChain>
</file>

<file path=xl/comments1.xml><?xml version="1.0" encoding="utf-8"?>
<comments xmlns="http://schemas.openxmlformats.org/spreadsheetml/2006/main">
  <authors>
    <author>Sandrine Quinty</author>
    <author>Julien Charmes</author>
  </authors>
  <commentList>
    <comment ref="AR43" authorId="0" shapeId="0">
      <text>
        <r>
          <rPr>
            <b/>
            <sz val="36"/>
            <color indexed="81"/>
            <rFont val="Tahoma"/>
            <family val="2"/>
          </rPr>
          <t>Sandrin</t>
        </r>
        <r>
          <rPr>
            <b/>
            <sz val="9"/>
            <color indexed="81"/>
            <rFont val="Tahoma"/>
            <family val="2"/>
          </rPr>
          <t>e Quinty: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36"/>
            <color indexed="81"/>
            <rFont val="Tahoma"/>
            <family val="2"/>
          </rPr>
          <t>etp fixé à 0,833 (ce qui représente 10 mois de contrat) sauf que le salarie est inscrit sur 9 mois) Echange avec Julien le 16 mars 2015</t>
        </r>
      </text>
    </comment>
    <comment ref="BM61" authorId="1" shapeId="0">
      <text>
        <r>
          <rPr>
            <b/>
            <sz val="20"/>
            <color indexed="81"/>
            <rFont val="Tahoma"/>
            <family val="2"/>
          </rPr>
          <t>Julien Charmes:</t>
        </r>
        <r>
          <rPr>
            <sz val="20"/>
            <color indexed="81"/>
            <rFont val="Tahoma"/>
            <family val="2"/>
          </rPr>
          <t xml:space="preserve">
retire la prime et charges sur prime versées en février 2012 pour le compte de l'exercice 2011</t>
        </r>
      </text>
    </comment>
  </commentList>
</comments>
</file>

<file path=xl/comments2.xml><?xml version="1.0" encoding="utf-8"?>
<comments xmlns="http://schemas.openxmlformats.org/spreadsheetml/2006/main">
  <authors>
    <author>Julien Charmes</author>
  </authors>
  <commentList>
    <comment ref="H7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mail du 09-04-2016 annoncant la subvention 2016 =&gt; 71 727.81 €
contre 73200€ en 2015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MRC 2014 = 189920,47
MRC2015 = 187002,653263095
Courrier de l'UT79 le 03/02/2015 = 187140,32€
Mail Ut79 31/03/2016 = 183366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Perspective de financement GPEC-T Région - 60000€ vu avec Mme BATY</t>
        </r>
      </text>
    </comment>
    <comment ref="L14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Subvention 2015 = 24600€
1er semestre 2016 = 15469€
prévision 2017 = 10000€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70% de versememnt en 2016 à la signature de la convention plus le solde en 2017 au moment du bilan.</t>
        </r>
      </text>
    </comment>
    <comment ref="F18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action création entreprises
retire BAP pour =&gt;  (1075+215)+(1163+290)
</t>
        </r>
      </text>
    </comment>
    <comment ref="M18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financement obtenu à moitié
calcul initial =(8*800)/2</t>
        </r>
      </text>
    </comment>
    <comment ref="J29" authorId="0" shapeId="0">
      <text>
        <r>
          <rPr>
            <b/>
            <sz val="15"/>
            <color indexed="81"/>
            <rFont val="Tahoma"/>
            <family val="2"/>
          </rPr>
          <t>Julien Charmes:</t>
        </r>
        <r>
          <rPr>
            <sz val="15"/>
            <color indexed="81"/>
            <rFont val="Tahoma"/>
            <family val="2"/>
          </rPr>
          <t xml:space="preserve">
MRC région 2015 = 
- 45% sur cœur métiers
- 55% sur part variable
   =&gt; 25% parcours qlf - 1 20 -
   =&gt;   5% ERI - 1 -
   =&gt; 25% ACP - 61 -</t>
        </r>
      </text>
    </comment>
    <comment ref="J33" authorId="0" shapeId="0">
      <text>
        <r>
          <rPr>
            <b/>
            <sz val="14"/>
            <color indexed="81"/>
            <rFont val="Tahoma"/>
            <family val="2"/>
          </rPr>
          <t>Julien Charmes:</t>
        </r>
        <r>
          <rPr>
            <sz val="14"/>
            <color indexed="81"/>
            <rFont val="Tahoma"/>
            <family val="2"/>
          </rPr>
          <t xml:space="preserve">
3022 en 2015
</t>
        </r>
      </text>
    </comment>
    <comment ref="J36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courier reçu de PE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18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Valorisation fonds OPCA 
et ARACT</t>
        </r>
      </text>
    </comment>
    <comment ref="H78" authorId="0" shapeId="0">
      <text>
        <r>
          <rPr>
            <b/>
            <sz val="12"/>
            <color indexed="81"/>
            <rFont val="Tahoma"/>
            <family val="2"/>
          </rPr>
          <t>Julien Charmes:
Ajout des 1500€ de la gestion des salles</t>
        </r>
      </text>
    </comment>
  </commentList>
</comments>
</file>

<file path=xl/comments3.xml><?xml version="1.0" encoding="utf-8"?>
<comments xmlns="http://schemas.openxmlformats.org/spreadsheetml/2006/main">
  <authors>
    <author>Julien Charmes</author>
  </authors>
  <commentList>
    <comment ref="AE55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15% de Charges indirectes / FSE</t>
        </r>
      </text>
    </comment>
  </commentList>
</comments>
</file>

<file path=xl/sharedStrings.xml><?xml version="1.0" encoding="utf-8"?>
<sst xmlns="http://schemas.openxmlformats.org/spreadsheetml/2006/main" count="853" uniqueCount="403">
  <si>
    <t xml:space="preserve">DEPENSES 
</t>
  </si>
  <si>
    <t>Total général</t>
  </si>
  <si>
    <t>Appel à projet GPEC-T</t>
  </si>
  <si>
    <t>Anticipation des mutations économiques</t>
  </si>
  <si>
    <t>Développement de l'emploi local</t>
  </si>
  <si>
    <t>S/Total MdE 
Conv° Etat 70%-30%</t>
  </si>
  <si>
    <t>Cœur de Métiers ML</t>
  </si>
  <si>
    <t>Garantie jeune</t>
  </si>
  <si>
    <t>Emploi d'avenir</t>
  </si>
  <si>
    <t>Réussite apprentissage</t>
  </si>
  <si>
    <t>ACP</t>
  </si>
  <si>
    <t>Permanence rurale</t>
  </si>
  <si>
    <t>S/Total ML</t>
  </si>
  <si>
    <t>Promotion de l'emploi</t>
  </si>
  <si>
    <t>Action Dptale Transport de voyageurs</t>
  </si>
  <si>
    <t>Action GTEC Filiére Bois</t>
  </si>
  <si>
    <t xml:space="preserve">Action CRDD </t>
  </si>
  <si>
    <t>S/Total CBE</t>
  </si>
  <si>
    <t>Clé de 
rép.</t>
  </si>
  <si>
    <t>Clé de rép.</t>
  </si>
  <si>
    <t>Clé de
 rép.</t>
  </si>
  <si>
    <t>Rémunération du personnel</t>
  </si>
  <si>
    <t>Clé de rép. Mémo</t>
  </si>
  <si>
    <t>cle de rep total</t>
  </si>
  <si>
    <t>*</t>
  </si>
  <si>
    <t>Directrice MCS</t>
  </si>
  <si>
    <t>Taxes sur salaire</t>
  </si>
  <si>
    <t>Formation Continue</t>
  </si>
  <si>
    <t>Directeur-Adjoint JC</t>
  </si>
  <si>
    <t>Chargée de projet AB</t>
  </si>
  <si>
    <t>Chargé de projet FM</t>
  </si>
  <si>
    <t>Chargé de mission SR</t>
  </si>
  <si>
    <t>Chargé de mission MB A</t>
  </si>
  <si>
    <t>Conseiller Niv II PS</t>
  </si>
  <si>
    <t>Conseiller Niv II CG</t>
  </si>
  <si>
    <t>Conseiller Niv II MM</t>
  </si>
  <si>
    <t>Conseiller Niv II PP</t>
  </si>
  <si>
    <t>Conseiller Niv I CB</t>
  </si>
  <si>
    <t>Assistante Administrative AF</t>
  </si>
  <si>
    <t>Assistante Administrative SQ</t>
  </si>
  <si>
    <t>Assistante Administrative AG</t>
  </si>
  <si>
    <t>/</t>
  </si>
  <si>
    <t>Autre charges de personnel</t>
  </si>
  <si>
    <t>Participation projet associatif</t>
  </si>
  <si>
    <t>Indemnités stage</t>
  </si>
  <si>
    <t>Médecine du travail</t>
  </si>
  <si>
    <t>%</t>
  </si>
  <si>
    <t>Achats</t>
  </si>
  <si>
    <t>MEF - Fourniture de carburant</t>
  </si>
  <si>
    <t>MEF - Ft Petit équipement</t>
  </si>
  <si>
    <t>ML - Ft Petit équipement</t>
  </si>
  <si>
    <t xml:space="preserve">MEF - Ft administratives </t>
  </si>
  <si>
    <t>ML - FTt Ad GJ</t>
  </si>
  <si>
    <t>ML - Ft Ad GJ</t>
  </si>
  <si>
    <t>Services extérieurs</t>
  </si>
  <si>
    <t>ML - Location immobilière + charges</t>
  </si>
  <si>
    <t xml:space="preserve">ML - Location immobilière </t>
  </si>
  <si>
    <t>MDE-CBE - Location immobilière + charges</t>
  </si>
  <si>
    <t xml:space="preserve">MDE - Location immobilière </t>
  </si>
  <si>
    <t>Location Logiciel i-milo</t>
  </si>
  <si>
    <t>Location Logiciel Bull - Parcours 3</t>
  </si>
  <si>
    <t>Location Log "Clauses sociales"</t>
  </si>
  <si>
    <t>Location Log MIAM</t>
  </si>
  <si>
    <t xml:space="preserve">Location Hébergement OVH </t>
  </si>
  <si>
    <t>Location mobilière</t>
  </si>
  <si>
    <t>Location mobilière (photocopieur)</t>
  </si>
  <si>
    <t>Location véhicule (Peugeot 208)</t>
  </si>
  <si>
    <t>Location véhicule (Peugeot 207)</t>
  </si>
  <si>
    <t>Location diverses</t>
  </si>
  <si>
    <t xml:space="preserve">ML - Entretien des locaux </t>
  </si>
  <si>
    <t xml:space="preserve">MDE/CBE - Entretien des locaux </t>
  </si>
  <si>
    <t xml:space="preserve">MEF - Entretien matériel </t>
  </si>
  <si>
    <t>Entretien matériel de tpt</t>
  </si>
  <si>
    <t>MEF - Maintenance photocopieur</t>
  </si>
  <si>
    <t>MEF - Maintenance des locaux</t>
  </si>
  <si>
    <t>prime d'assurance</t>
  </si>
  <si>
    <t>Doc générale MEF</t>
  </si>
  <si>
    <t>Doc données INSEE</t>
  </si>
  <si>
    <t>Formation</t>
  </si>
  <si>
    <t>Formations GJ</t>
  </si>
  <si>
    <t>Autres services extérieurs</t>
  </si>
  <si>
    <t>Personnel mis à dispo</t>
  </si>
  <si>
    <t>Consultant ML</t>
  </si>
  <si>
    <t>Consultant MDE</t>
  </si>
  <si>
    <t>Consultant MDE - GPEC-T/revitalisation/contrat ville</t>
  </si>
  <si>
    <t>Consultant gpe DRH</t>
  </si>
  <si>
    <t>Personnel spécifique</t>
  </si>
  <si>
    <t>Consultant GPEC T</t>
  </si>
  <si>
    <t>Consultant DLA MEF</t>
  </si>
  <si>
    <t>Prestation Observatoire N79</t>
  </si>
  <si>
    <t>Avocat - Droit social</t>
  </si>
  <si>
    <t>Prestation Observatoire N80</t>
  </si>
  <si>
    <t>Honoraires expert comptable</t>
  </si>
  <si>
    <t>Honoraires CAC</t>
  </si>
  <si>
    <t>Frais d'acte et de contentieux</t>
  </si>
  <si>
    <t>MEF Outils Communication</t>
  </si>
  <si>
    <t>MDE Outils Communication</t>
  </si>
  <si>
    <t>ML Outils Communication</t>
  </si>
  <si>
    <t>Cadeaux partenaires</t>
  </si>
  <si>
    <t>Remb de frais sur justificatif</t>
  </si>
  <si>
    <t>Déplacements divers (actions)</t>
  </si>
  <si>
    <t>MEF - Mission Réception</t>
  </si>
  <si>
    <t>MDE  Mission - Réception</t>
  </si>
  <si>
    <t>ML Mission - Réception</t>
  </si>
  <si>
    <t>CBE - Mission Réception</t>
  </si>
  <si>
    <t>MDE - Réception gpe DRH</t>
  </si>
  <si>
    <t>Frais Postaux</t>
  </si>
  <si>
    <t xml:space="preserve">Frais de télécommunication </t>
  </si>
  <si>
    <t>Téléphone portable</t>
  </si>
  <si>
    <t>Services bancaires</t>
  </si>
  <si>
    <t>MEF Cotisations diverses</t>
  </si>
  <si>
    <t>MDE Cotisations diverses</t>
  </si>
  <si>
    <t>ML Cotisations diverses</t>
  </si>
  <si>
    <t>Impôts et taxes</t>
  </si>
  <si>
    <t>Taxes diverses - URSSAF PMSMP</t>
  </si>
  <si>
    <t>Dotation</t>
  </si>
  <si>
    <t>Dot Amort s/immo</t>
  </si>
  <si>
    <t>Dot provisions pour risques et charges d'exploitation / GJ</t>
  </si>
  <si>
    <t>Dot prov ind fin de c</t>
  </si>
  <si>
    <t>TOTAL</t>
  </si>
  <si>
    <t>Recettes 2017</t>
  </si>
  <si>
    <t>Recettes 2014</t>
  </si>
  <si>
    <t>Prévisionnel 2013</t>
  </si>
  <si>
    <t>Prévisionnel 2012</t>
  </si>
  <si>
    <t>etp</t>
  </si>
  <si>
    <t>Maison de l'Emploi et de la Formation du pays thouarsais - Budget prévisionnel - Exercice 2017</t>
  </si>
  <si>
    <t>RESSOURCES</t>
  </si>
  <si>
    <t>Budget prévisionnel 2017
Maison de l'Emploi</t>
  </si>
  <si>
    <t xml:space="preserve">Budget prévisionnel 2017
Mission Locale </t>
  </si>
  <si>
    <t>Budget prévisionnel 2017
Comité de Bassin d'Emploi</t>
  </si>
  <si>
    <t>Total
général</t>
  </si>
  <si>
    <t>Axe1 
Diagnostic / Stratégie territoriale partagée
(DIAGNOSTIC)</t>
  </si>
  <si>
    <t>Axe1 
Diagnostic</t>
  </si>
  <si>
    <t>Axe 1 Anticipation des mutations économiques</t>
  </si>
  <si>
    <t>Axe 2 Développement de l'emploi local</t>
  </si>
  <si>
    <t>Coeur du métier ML</t>
  </si>
  <si>
    <t>Garantie Jeune</t>
  </si>
  <si>
    <t>Emploi d'Avenir</t>
  </si>
  <si>
    <t>EDEC 79 (GPEC Transport voyageur)</t>
  </si>
  <si>
    <t>-</t>
  </si>
  <si>
    <t>ETAT/DIRECCTE</t>
  </si>
  <si>
    <t>CPO MEF – Fonctionnement</t>
  </si>
  <si>
    <t>Fonds spécifiques clauses sociales</t>
  </si>
  <si>
    <t>CPO ML - "socle"</t>
  </si>
  <si>
    <t>Parrainage</t>
  </si>
  <si>
    <t>Convention « Promotion de l'emploi »</t>
  </si>
  <si>
    <t>GPEC territoriale - EDEC</t>
  </si>
  <si>
    <t>Garantie Jeune 2016 (sorties)</t>
  </si>
  <si>
    <t>Garantie Jeune 2017 (entrées)</t>
  </si>
  <si>
    <t>CGET - Contrat de ville</t>
  </si>
  <si>
    <t>Fonds Social Européen</t>
  </si>
  <si>
    <t>Projet FSE ML</t>
  </si>
  <si>
    <t>FSE GPEC-T</t>
  </si>
  <si>
    <t>FSE-Clauses</t>
  </si>
  <si>
    <t>FSE-SPRO</t>
  </si>
  <si>
    <t xml:space="preserve">Région Poitou-Charentes </t>
  </si>
  <si>
    <t xml:space="preserve">CRDD </t>
  </si>
  <si>
    <t>LEADER - innovation / accueil jeunes</t>
  </si>
  <si>
    <t>CR - SPRO</t>
  </si>
  <si>
    <t>PRC – VAE</t>
  </si>
  <si>
    <t>Convention Région ML</t>
  </si>
  <si>
    <t>Manifestation d'intérêt Régional</t>
  </si>
  <si>
    <t xml:space="preserve">Collectivités locales : </t>
  </si>
  <si>
    <t>CC Thouarsais</t>
  </si>
  <si>
    <t>CC Airvault - Val du Thouet</t>
  </si>
  <si>
    <t>Mairie de Loudun</t>
  </si>
  <si>
    <t>DR Pole Emploi</t>
  </si>
  <si>
    <t>Co-traitance</t>
  </si>
  <si>
    <t>Conseil Départemental</t>
  </si>
  <si>
    <t>Accompagt jeunes RSA</t>
  </si>
  <si>
    <t>Autres financements</t>
  </si>
  <si>
    <t>Fonds revitalisation</t>
  </si>
  <si>
    <t>Goupe DRH</t>
  </si>
  <si>
    <t>Valorisation de Fonds OPCA</t>
  </si>
  <si>
    <t>Mutualisation chargée de communicat° - Bocage</t>
  </si>
  <si>
    <t>Mutualisation Clauses sociales Bocage</t>
  </si>
  <si>
    <t>CICE association</t>
  </si>
  <si>
    <t>Indemnités de départ en retaite MCS (fds mef)</t>
  </si>
  <si>
    <t>Indemnités congé payé directrice (fds mef)</t>
  </si>
  <si>
    <t>Indemnités congé payé dir-adj (fds mef)</t>
  </si>
  <si>
    <t xml:space="preserve"> </t>
  </si>
  <si>
    <t>Rappel Total Dépenses</t>
  </si>
  <si>
    <t>Total Ressources - Total Dépenses</t>
  </si>
  <si>
    <t>MdE / Part de chaque financeur</t>
  </si>
  <si>
    <t>%  colonne "Somme MdE"</t>
  </si>
  <si>
    <t>FSE ml 2015</t>
  </si>
  <si>
    <t>Version 2 conseillers ML</t>
  </si>
  <si>
    <t>Version 1 conseiller</t>
  </si>
  <si>
    <t>Version 2 conseiller</t>
  </si>
  <si>
    <t>Version 2 nvx conseillers</t>
  </si>
  <si>
    <t>ppx</t>
  </si>
  <si>
    <t>Conseiller niv1</t>
  </si>
  <si>
    <t>cb</t>
  </si>
  <si>
    <t>ND</t>
  </si>
  <si>
    <t>charges directes</t>
  </si>
  <si>
    <t>charges indir. 15%</t>
  </si>
  <si>
    <t>total projet FSE</t>
  </si>
  <si>
    <t xml:space="preserve">Vérification : </t>
  </si>
  <si>
    <t>Somme = 100% ?</t>
  </si>
  <si>
    <t>60% fin FSE</t>
  </si>
  <si>
    <t>Vérification 70%-30%</t>
  </si>
  <si>
    <t>Part Etat &lt;= à 70% ?</t>
  </si>
  <si>
    <t>BP pour SPRO 2016</t>
  </si>
  <si>
    <t>Dépenses</t>
  </si>
  <si>
    <t>ab</t>
  </si>
  <si>
    <t>nd</t>
  </si>
  <si>
    <t>Conventionné 2011</t>
  </si>
  <si>
    <t>Julien CHARMES</t>
  </si>
  <si>
    <t>Recettes MDE</t>
  </si>
  <si>
    <t>CBE</t>
  </si>
  <si>
    <t>mde</t>
  </si>
  <si>
    <t>Marie-Christine SCHMIT</t>
  </si>
  <si>
    <t>ml</t>
  </si>
  <si>
    <t>cbe</t>
  </si>
  <si>
    <t>total</t>
  </si>
  <si>
    <t>hab</t>
  </si>
  <si>
    <t>CCT</t>
  </si>
  <si>
    <t>CCT gestion salles</t>
  </si>
  <si>
    <t>CCAVT</t>
  </si>
  <si>
    <t>CC Argenton les Vallées</t>
  </si>
  <si>
    <t>Total</t>
  </si>
  <si>
    <t>CC Saint-Varent</t>
  </si>
  <si>
    <t>Recettes</t>
  </si>
  <si>
    <t>Total collectivités locales Mde + Cbe</t>
  </si>
  <si>
    <t>20% fin Rgn</t>
  </si>
  <si>
    <t>Mde (hors loc salles)</t>
  </si>
  <si>
    <t>20% fin MEF</t>
  </si>
  <si>
    <t>Cbe</t>
  </si>
  <si>
    <t>CR (vae)</t>
  </si>
  <si>
    <t>Collectivités via MDE Bre &amp; Par</t>
  </si>
  <si>
    <t>Collectivités total Mde (CL + CR)</t>
  </si>
  <si>
    <t>Collectivités Mde (sans OBS)</t>
  </si>
  <si>
    <t>A rechercher  mde =&gt;</t>
  </si>
  <si>
    <t>Etat total (70%)</t>
  </si>
  <si>
    <t>Etat sans OBS (70%)</t>
  </si>
  <si>
    <t>Dépenses (avec OBS)</t>
  </si>
  <si>
    <t>Dépenses (sans OBS)</t>
  </si>
  <si>
    <t>total sans obs</t>
  </si>
  <si>
    <t>écart</t>
  </si>
  <si>
    <t>Détail obs 2nd sem</t>
  </si>
  <si>
    <t>total cc MDE</t>
  </si>
  <si>
    <t>TOTAL CC MEF</t>
  </si>
  <si>
    <t>Argenton</t>
  </si>
  <si>
    <t>Saint Varent</t>
  </si>
  <si>
    <t>Airvault (que ML)</t>
  </si>
  <si>
    <t>Airvault</t>
  </si>
  <si>
    <t>Colonne1</t>
  </si>
  <si>
    <t>Subv. ML 2011</t>
  </si>
  <si>
    <t>Subv. ML 2012</t>
  </si>
  <si>
    <t>Subv. ML 2013</t>
  </si>
  <si>
    <t>Colonne2</t>
  </si>
  <si>
    <t>% Hors RVO</t>
  </si>
  <si>
    <t>Financeurs</t>
  </si>
  <si>
    <t>Fonctionnement</t>
  </si>
  <si>
    <t>Global</t>
  </si>
  <si>
    <t>%2</t>
  </si>
  <si>
    <t>Total fonctionnement</t>
  </si>
  <si>
    <t>Clauses FM</t>
  </si>
  <si>
    <t>Groupe RH</t>
  </si>
  <si>
    <t>xxxx</t>
  </si>
  <si>
    <t>Total GPEC-T</t>
  </si>
  <si>
    <t>xxx</t>
  </si>
  <si>
    <t xml:space="preserve">Total </t>
  </si>
  <si>
    <t>Revitalisation et mutations économiques</t>
  </si>
  <si>
    <t>GPEC-T intersectorielle</t>
  </si>
  <si>
    <t>GPEC-T s.a.p.</t>
  </si>
  <si>
    <t>Total axe 1</t>
  </si>
  <si>
    <t>Sensibilisat° des entreprises à la mobilité</t>
  </si>
  <si>
    <t>BAO Métier des services</t>
  </si>
  <si>
    <t>Comité Technique d'Orientation</t>
  </si>
  <si>
    <t>dont Gestion du pôle</t>
  </si>
  <si>
    <t>SPRO</t>
  </si>
  <si>
    <t>CTO =&gt; Création d'entreprises
(contrat de ville)</t>
  </si>
  <si>
    <t>Pilotage des clauses sociales Thouars</t>
  </si>
  <si>
    <t>Total axe 2</t>
  </si>
  <si>
    <t>Clauses sociales
Thouars - Bressuire</t>
  </si>
  <si>
    <t>Clauses sociales
Loudun</t>
  </si>
  <si>
    <t>Clauses sociales</t>
  </si>
  <si>
    <t>ETP 
totaux</t>
  </si>
  <si>
    <t>ETP
CBE</t>
  </si>
  <si>
    <t>Charges de personnel</t>
  </si>
  <si>
    <t>% des CC</t>
  </si>
  <si>
    <t>Circulaire 24 février 2010 / Annexe 2.3 - Conventions nouvelle génération / Annexe 3.1 à la convention : synthèse financière des actions financées par l'Etat</t>
  </si>
  <si>
    <r>
      <t xml:space="preserve">Budget prévisionnel 2016 - MDE
</t>
    </r>
    <r>
      <rPr>
        <u/>
        <sz val="20"/>
        <rFont val="Arial"/>
        <family val="2"/>
      </rPr>
      <t>non validé en CA</t>
    </r>
  </si>
  <si>
    <t>CPO  MDE</t>
  </si>
  <si>
    <t>Total
Activité MDE</t>
  </si>
  <si>
    <t>Total 
CPO MDE</t>
  </si>
  <si>
    <t>Autres charges de personnel (indirectes)</t>
  </si>
  <si>
    <t xml:space="preserve">Services extérieurs (location, études, …) </t>
  </si>
  <si>
    <t>Dotation amortissements</t>
  </si>
  <si>
    <t>Tx état</t>
  </si>
  <si>
    <t>Tx CL</t>
  </si>
  <si>
    <t>TRAME</t>
  </si>
  <si>
    <t>Ecarts</t>
  </si>
  <si>
    <t>Etat</t>
  </si>
  <si>
    <t>Communautés de communes</t>
  </si>
  <si>
    <t>Conseil Régional (CRDD, LEADER, VAE, ERO…)</t>
  </si>
  <si>
    <t>ACSE</t>
  </si>
  <si>
    <t>Autres partenaires (MDE, fonds privés…)</t>
  </si>
  <si>
    <t>Ecart</t>
  </si>
  <si>
    <t>Orientation Budgétaire 2014 - MDE
AXE 4</t>
  </si>
  <si>
    <t>ACTION INNOVATION 2014</t>
  </si>
  <si>
    <t>DEPENSES</t>
  </si>
  <si>
    <t xml:space="preserve">RECETTES </t>
  </si>
  <si>
    <t>60 - Achats</t>
  </si>
  <si>
    <t>74 - Subventions d'exploitation</t>
  </si>
  <si>
    <t>DIRECCTE :</t>
  </si>
  <si>
    <t>61  - Services extérieurs</t>
  </si>
  <si>
    <t>Promotion Convention de l'Emploi  (CBE)</t>
  </si>
  <si>
    <t>62 - Autres services extérieurs</t>
  </si>
  <si>
    <t xml:space="preserve">Conseil Régional : </t>
  </si>
  <si>
    <t>Appel à Manifestation d'Intérêt régional DST</t>
  </si>
  <si>
    <t>63 - Impôts et taxes</t>
  </si>
  <si>
    <t xml:space="preserve">Autres financements : </t>
  </si>
  <si>
    <t>64 - Charges de personnel</t>
  </si>
  <si>
    <t>Fonds propres MEF</t>
  </si>
  <si>
    <t>65 - Autres charges de gestion courante</t>
  </si>
  <si>
    <t>TOTAL DES CHARGES</t>
  </si>
  <si>
    <t>TOTAL DES RECETTES</t>
  </si>
  <si>
    <t>Fourniture de carburant</t>
  </si>
  <si>
    <t>Petit équipement</t>
  </si>
  <si>
    <t xml:space="preserve">Fournitures administratives </t>
  </si>
  <si>
    <t xml:space="preserve">Location immobilière </t>
  </si>
  <si>
    <t xml:space="preserve">Entretien matériel </t>
  </si>
  <si>
    <t>Maintenance photocopieur</t>
  </si>
  <si>
    <t>Prime d'assurance</t>
  </si>
  <si>
    <t>Consultant MDE - innovation</t>
  </si>
  <si>
    <t>Honoraires expert comptable et CAC</t>
  </si>
  <si>
    <t>Outils Communication</t>
  </si>
  <si>
    <t>Frais Postaux et télécommunication</t>
  </si>
  <si>
    <t>Cotisations</t>
  </si>
  <si>
    <t>75 - Autres Produits de gestion courantes</t>
  </si>
  <si>
    <t>Rémunérations du personnel</t>
  </si>
  <si>
    <t>76 - Produits financiers</t>
  </si>
  <si>
    <t>77 - Produits exceptionnels</t>
  </si>
  <si>
    <t>Activité Mission Locale</t>
  </si>
  <si>
    <t>Fiches actions spécifiques</t>
  </si>
  <si>
    <t>axe1</t>
  </si>
  <si>
    <t>Axe 2</t>
  </si>
  <si>
    <t>Axe 3</t>
  </si>
  <si>
    <t>Axe 4</t>
  </si>
  <si>
    <t>Axe 5</t>
  </si>
  <si>
    <t>Total 
Mission Locale</t>
  </si>
  <si>
    <t>dont
Fiche 6% CPO
Alt / Emp durable</t>
  </si>
  <si>
    <t>dont 
Fiche 3% CPO
CIVIS</t>
  </si>
  <si>
    <t>Captation niv V 
et infra</t>
  </si>
  <si>
    <t>FSE 2015</t>
  </si>
  <si>
    <t>Center-Parcs</t>
  </si>
  <si>
    <t>Observatoire</t>
  </si>
  <si>
    <t>Diagnostic partagé</t>
  </si>
  <si>
    <t>Sensibilisation des acteurs du territoire à la GTEC de branche</t>
  </si>
  <si>
    <t>Groupe DRH</t>
  </si>
  <si>
    <t>Point info° métiers, orientat° et format° et accueil tout public</t>
  </si>
  <si>
    <t>SPO</t>
  </si>
  <si>
    <t>Semaine de la valorisation des métiers</t>
  </si>
  <si>
    <t>Innovation et création …</t>
  </si>
  <si>
    <t>Total axe 3</t>
  </si>
  <si>
    <t>A rechercher</t>
  </si>
  <si>
    <t>Commentaires sur le plan d'actions MDE 2014 :</t>
  </si>
  <si>
    <t>- Clauses sociales : évaluer le temps de travail nécessaire pour les chantiers 2014 (plus de 9000 h)</t>
  </si>
  <si>
    <t>- Point Information Formation Emploi  : renommer l'action "Accueil / Information / Orientation</t>
  </si>
  <si>
    <t>- Sensibilisation des entreprise sà la GPEC : renommer l'action 2014 en "Anticipation des mutations économiques et GPEC-T"</t>
  </si>
  <si>
    <t>- Innovation : renommer l'action "Innovation, formations supérieures et accueil étudiant"</t>
  </si>
  <si>
    <t>- Semaine valorisation des métiers : changer le titre l'actions en "Découverte du bassin d'emploi"</t>
  </si>
  <si>
    <t>- SPO : maintien en l'état</t>
  </si>
  <si>
    <t>Note technique préparatoire au budget prévisionnel 2014 (bureau - 31/10/2013)</t>
  </si>
  <si>
    <t>Orientations budgétaires :</t>
  </si>
  <si>
    <t>- économies envisagées sur les charges reversées à la CCT (entretien DGS 43 781,82 € au lieu des 75 000 € actuels)</t>
  </si>
  <si>
    <t>- apport de 15 000 € du conseil général au service ML via appel d'offres ML deux-sèvres</t>
  </si>
  <si>
    <t>- diminution de 50% des consultants /2013 (3000€ sur MDE et 1500€ sur ML)</t>
  </si>
  <si>
    <t>- réaménagement du plan d'actions de la MDE (fin de l'Observatoire et suppression accueil MDE liées à la décision de l'Etat…)</t>
  </si>
  <si>
    <t>- maintien et augmentation de 1% (non intégré) des fonds des collectivités locales (nouvelle CCT  et airvaudais - val du Thouet)</t>
  </si>
  <si>
    <t xml:space="preserve">- recettes service MDE : diminution de 15 000 € du financement Etat (soit - 12 %) </t>
  </si>
  <si>
    <t>- recettes services ML : sans FSE -42 000 €, ACP (CRDD) -16 065 €, EPC (Région) -3 000 €, ANI (FPSPP) -12/14 000 €</t>
  </si>
  <si>
    <t>- ressources humaines : - maintien temps du CDD conseiller ML,
                                              - non renouvellement du CDD innovation</t>
  </si>
  <si>
    <t>- réponse faite à la  manifestation d'intérêt du  Conseil Régional (20 000 €)</t>
  </si>
  <si>
    <t>- sollicitation souhaitée par le ministère du travail d'un FSE "clauses sociales" sur 6 mois en juin 2014</t>
  </si>
  <si>
    <t>- sollicitation à envisager auprès de Fondations privées pour la mise en œuvre d' ateliers internes ML (10 000 € à 15 000 €)</t>
  </si>
  <si>
    <t>- étude d'une suppression de la charge d'intérêt MDE</t>
  </si>
  <si>
    <t>axe 1</t>
  </si>
  <si>
    <t>axe 2</t>
  </si>
  <si>
    <t>axe 3</t>
  </si>
  <si>
    <t>axe 4</t>
  </si>
  <si>
    <t>axe 5</t>
  </si>
  <si>
    <t>EAv</t>
  </si>
  <si>
    <t>MC</t>
  </si>
  <si>
    <t>Julien</t>
  </si>
  <si>
    <t xml:space="preserve">Anne </t>
  </si>
  <si>
    <t>Fred</t>
  </si>
  <si>
    <t>Samuel</t>
  </si>
  <si>
    <t>Chargé de mission</t>
  </si>
  <si>
    <t>Pascale</t>
  </si>
  <si>
    <t xml:space="preserve">Cécile </t>
  </si>
  <si>
    <t>Martine</t>
  </si>
  <si>
    <t>Pascal</t>
  </si>
  <si>
    <t>Céline</t>
  </si>
  <si>
    <t xml:space="preserve">Annie F </t>
  </si>
  <si>
    <t>Sandrine</t>
  </si>
  <si>
    <t>Annie G</t>
  </si>
  <si>
    <t>M.Bénédicte</t>
  </si>
  <si>
    <t>Service civique</t>
  </si>
  <si>
    <t>Serv, civique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</si>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</sst>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0.000"/>
    <numFmt numFmtId="166" formatCode="0.000000"/>
    <numFmt numFmtId="167" formatCode="#,##0.00\ [$€-40C];[Red]\-#,##0.00\ [$€-40C]"/>
    <numFmt numFmtId="168" formatCode="0.00000000"/>
    <numFmt numFmtId="169" formatCode="0.00000"/>
    <numFmt numFmtId="170" formatCode="#,##0.00&quot; €&quot;"/>
    <numFmt numFmtId="171" formatCode="0.0000"/>
    <numFmt numFmtId="172" formatCode="0.0000000"/>
    <numFmt numFmtId="173" formatCode="#,##0.00000\ [$€-40C];[Red]\-#,##0.00000\ [$€-40C]"/>
    <numFmt numFmtId="174" formatCode="#,##0.000\ [$€-40C];[Red]\-#,##0.000\ [$€-40C]"/>
    <numFmt numFmtId="175" formatCode="#,##0.0000\ [$€-40C];[Red]\-#,##0.0000\ [$€-40C]"/>
    <numFmt numFmtId="176" formatCode="\ #,##0&quot;    &quot;;\-#,##0&quot;    &quot;;&quot; -    &quot;;@\ "/>
    <numFmt numFmtId="177" formatCode="\ #,##0.00&quot; € &quot;;\-#,##0.00&quot; € &quot;;&quot; -&quot;#&quot; € &quot;;@\ "/>
    <numFmt numFmtId="178" formatCode="0.000000%"/>
    <numFmt numFmtId="179" formatCode="_-* #,##0.00\ [$€-40C]_-;\-* #,##0.00\ [$€-40C]_-;_-* &quot;-&quot;??\ [$€-40C]_-;_-@_-"/>
    <numFmt numFmtId="180" formatCode="#,##0.00000000\ [$€-40C];[Red]\-#,##0.00000000\ [$€-40C]"/>
    <numFmt numFmtId="181" formatCode="0.00000000000"/>
    <numFmt numFmtId="182" formatCode="0.00000000000000"/>
    <numFmt numFmtId="183" formatCode="#,##0.000000\ [$€-40C];[Red]\-#,##0.000000\ [$€-40C]"/>
    <numFmt numFmtId="184" formatCode="0.000%"/>
    <numFmt numFmtId="185" formatCode="0.000000000"/>
    <numFmt numFmtId="186" formatCode="#,##0.000\ &quot;€&quot;;[Red]\-#,##0.000\ &quot;€&quot;"/>
    <numFmt numFmtId="187" formatCode="#,##0.0000000\ [$€-40C];[Red]\-#,##0.0000000\ [$€-40C]"/>
    <numFmt numFmtId="188" formatCode="_-* #,##0.000\ _F_-;\-* #,##0.000\ _F_-;_-* &quot;-&quot;??\ _F_-;_-@_-"/>
    <numFmt numFmtId="189" formatCode="_-* #,##0.0\ &quot;€&quot;_-;\-* #,##0.0\ &quot;€&quot;_-;_-* &quot;-&quot;??\ &quot;€&quot;_-;_-@_-"/>
    <numFmt numFmtId="190" formatCode="#,##0.000000000\ [$€-40C];[Red]\-#,##0.000000000\ [$€-40C]"/>
    <numFmt numFmtId="191" formatCode="0.0%"/>
    <numFmt numFmtId="192" formatCode="#,##0\ [$€-1];\-#,##0\ [$€-1]"/>
    <numFmt numFmtId="193" formatCode="_-* #,##0\ [$€-1]_-;\-* #,##0\ [$€-1]_-;_-* &quot;-&quot;??\ [$€-1]_-"/>
    <numFmt numFmtId="194" formatCode="#,##0.00\ [$€-1];\-#,##0.00\ [$€-1]"/>
    <numFmt numFmtId="195" formatCode="#,##0.00\ [$€-1]"/>
    <numFmt numFmtId="196" formatCode="#,##0.00000000000\ [$€-40C];[Red]\-#,##0.00000000000\ [$€-40C]"/>
    <numFmt numFmtId="197" formatCode="_-* #,##0.00000\ &quot;€&quot;_-;\-* #,##0.00000\ &quot;€&quot;_-;_-* &quot;-&quot;??\ &quot;€&quot;_-;_-@_-"/>
    <numFmt numFmtId="198" formatCode="0.0000000000"/>
    <numFmt numFmtId="199" formatCode="_-* #,##0.0000000000\ _F_-;\-* #,##0.0000000000\ _F_-;_-* &quot;-&quot;??\ _F_-;_-@_-"/>
    <numFmt numFmtId="200" formatCode="0.00000%"/>
    <numFmt numFmtId="201" formatCode="_-* #,##0.0000000\ _F_-;\-* #,##0.0000000\ _F_-;_-* &quot;-&quot;??\ _F_-;_-@_-"/>
    <numFmt numFmtId="202" formatCode="0.0000%"/>
  </numFmts>
  <fonts count="93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5"/>
      <name val="Arial"/>
      <family val="2"/>
    </font>
    <font>
      <sz val="12"/>
      <name val="Arial"/>
      <family val="2"/>
    </font>
    <font>
      <sz val="10"/>
      <color indexed="48"/>
      <name val="Arial"/>
      <family val="2"/>
    </font>
    <font>
      <sz val="20"/>
      <name val="Arial"/>
      <family val="2"/>
    </font>
    <font>
      <b/>
      <sz val="18"/>
      <color indexed="56"/>
      <name val="Cambria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sz val="15"/>
      <color indexed="48"/>
      <name val="Arial"/>
      <family val="2"/>
    </font>
    <font>
      <i/>
      <sz val="14"/>
      <name val="Arial"/>
      <family val="2"/>
    </font>
    <font>
      <i/>
      <sz val="15"/>
      <name val="Arial"/>
      <family val="2"/>
    </font>
    <font>
      <b/>
      <i/>
      <sz val="20"/>
      <name val="Arial"/>
      <family val="2"/>
    </font>
    <font>
      <b/>
      <i/>
      <sz val="15"/>
      <name val="Arial"/>
      <family val="2"/>
    </font>
    <font>
      <i/>
      <sz val="10"/>
      <name val="Arial"/>
      <family val="2"/>
    </font>
    <font>
      <i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8"/>
      <color theme="1"/>
      <name val="Arial"/>
      <family val="2"/>
    </font>
    <font>
      <b/>
      <sz val="28"/>
      <name val="Arial"/>
      <family val="2"/>
    </font>
    <font>
      <sz val="7"/>
      <name val="Arial"/>
      <family val="2"/>
    </font>
    <font>
      <b/>
      <i/>
      <sz val="36"/>
      <name val="Arial"/>
      <family val="2"/>
    </font>
    <font>
      <b/>
      <sz val="18"/>
      <name val="Arial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14"/>
      <color indexed="48"/>
      <name val="Arial"/>
      <family val="2"/>
    </font>
    <font>
      <sz val="18"/>
      <color indexed="48"/>
      <name val="Arial"/>
      <family val="2"/>
    </font>
    <font>
      <i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indexed="81"/>
      <name val="Tahoma"/>
      <family val="2"/>
    </font>
    <font>
      <sz val="18"/>
      <color indexed="81"/>
      <name val="Tahoma"/>
      <family val="2"/>
    </font>
    <font>
      <b/>
      <sz val="12"/>
      <color indexed="81"/>
      <name val="Tahoma"/>
      <family val="2"/>
    </font>
    <font>
      <b/>
      <i/>
      <sz val="9"/>
      <name val="Arial"/>
      <family val="2"/>
    </font>
    <font>
      <b/>
      <u/>
      <sz val="11"/>
      <name val="Arial"/>
      <family val="2"/>
    </font>
    <font>
      <sz val="16"/>
      <color rgb="FFFF0000"/>
      <name val="Arial"/>
      <family val="2"/>
    </font>
    <font>
      <b/>
      <sz val="24"/>
      <name val="Arial"/>
      <family val="2"/>
    </font>
    <font>
      <b/>
      <u/>
      <sz val="22"/>
      <name val="Arial"/>
      <family val="2"/>
    </font>
    <font>
      <b/>
      <sz val="16"/>
      <color indexed="81"/>
      <name val="Tahoma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u/>
      <sz val="12"/>
      <name val="Arial"/>
      <family val="2"/>
    </font>
    <font>
      <b/>
      <sz val="18"/>
      <color indexed="48"/>
      <name val="Arial"/>
      <family val="2"/>
    </font>
    <font>
      <b/>
      <sz val="14"/>
      <color indexed="48"/>
      <name val="Arial"/>
      <family val="2"/>
    </font>
    <font>
      <b/>
      <sz val="10"/>
      <name val="Abadi MT Condensed Light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color indexed="48"/>
      <name val="Arial"/>
      <family val="2"/>
    </font>
    <font>
      <b/>
      <sz val="20"/>
      <color indexed="48"/>
      <name val="Arial"/>
      <family val="2"/>
    </font>
    <font>
      <b/>
      <sz val="15"/>
      <color indexed="81"/>
      <name val="Tahoma"/>
      <family val="2"/>
    </font>
    <font>
      <sz val="15"/>
      <color indexed="81"/>
      <name val="Tahoma"/>
      <family val="2"/>
    </font>
    <font>
      <u/>
      <sz val="20"/>
      <name val="Arial"/>
      <family val="2"/>
    </font>
    <font>
      <sz val="36"/>
      <color indexed="81"/>
      <name val="Tahoma"/>
      <family val="2"/>
    </font>
    <font>
      <b/>
      <sz val="36"/>
      <color indexed="81"/>
      <name val="Tahoma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indexed="48"/>
      <name val="Arial"/>
      <family val="2"/>
    </font>
    <font>
      <i/>
      <sz val="12"/>
      <color indexed="48"/>
      <name val="Arial"/>
      <family val="2"/>
    </font>
    <font>
      <b/>
      <sz val="18"/>
      <color theme="0"/>
      <name val="Arial"/>
      <family val="2"/>
    </font>
    <font>
      <i/>
      <sz val="1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22"/>
      <name val="Arial"/>
      <family val="2"/>
    </font>
    <font>
      <i/>
      <sz val="22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14"/>
        <bgColor indexed="33"/>
      </patternFill>
    </fill>
    <fill>
      <patternFill patternType="solid">
        <fgColor indexed="10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/>
        <bgColor indexed="9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 tint="-0.249977111117893"/>
        <bgColor indexed="33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4.9989318521683403E-2"/>
        <bgColor indexed="3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-0.249977111117893"/>
        <bgColor indexed="33"/>
      </patternFill>
    </fill>
    <fill>
      <patternFill patternType="solid">
        <fgColor theme="9"/>
        <bgColor indexed="35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9"/>
        <bgColor indexed="22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0"/>
      </patternFill>
    </fill>
    <fill>
      <patternFill patternType="solid">
        <fgColor theme="4" tint="0.79998168889431442"/>
        <bgColor indexed="35"/>
      </patternFill>
    </fill>
    <fill>
      <patternFill patternType="solid">
        <fgColor theme="6" tint="0.79998168889431442"/>
        <bgColor indexed="33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3" tint="0.59999389629810485"/>
        <bgColor indexed="6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/>
        <bgColor indexed="3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33D3E9"/>
        <bgColor indexed="31"/>
      </patternFill>
    </fill>
    <fill>
      <patternFill patternType="solid">
        <fgColor theme="0" tint="-0.14999847407452621"/>
        <bgColor indexed="33"/>
      </patternFill>
    </fill>
    <fill>
      <patternFill patternType="solid">
        <fgColor theme="9" tint="0.59999389629810485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84C6D8"/>
        <bgColor indexed="64"/>
      </patternFill>
    </fill>
    <fill>
      <patternFill patternType="solid">
        <fgColor rgb="FF84C6D8"/>
        <bgColor indexed="9"/>
      </patternFill>
    </fill>
    <fill>
      <patternFill patternType="solid">
        <fgColor theme="0" tint="-0.14999847407452621"/>
        <bgColor indexed="60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rgb="FF66CCFF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0"/>
      </patternFill>
    </fill>
    <fill>
      <patternFill patternType="solid">
        <fgColor theme="0"/>
        <bgColor indexed="33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35"/>
      </patternFill>
    </fill>
    <fill>
      <patternFill patternType="solid">
        <fgColor rgb="FFFF0000"/>
        <bgColor indexed="31"/>
      </patternFill>
    </fill>
    <fill>
      <patternFill patternType="solid">
        <fgColor theme="0" tint="-4.9989318521683403E-2"/>
        <bgColor indexed="60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0000"/>
        <bgColor indexed="60"/>
      </patternFill>
    </fill>
    <fill>
      <patternFill patternType="solid">
        <fgColor theme="6" tint="0.39997558519241921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5" tint="0.39997558519241921"/>
        <bgColor indexed="33"/>
      </patternFill>
    </fill>
    <fill>
      <patternFill patternType="solid">
        <fgColor theme="6"/>
        <bgColor indexed="33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AFC87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35"/>
      </patternFill>
    </fill>
  </fills>
  <borders count="109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ill="0" applyBorder="0" applyAlignment="0" applyProtection="0"/>
    <xf numFmtId="0" fontId="1" fillId="0" borderId="0"/>
    <xf numFmtId="177" fontId="1" fillId="0" borderId="0" applyFill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45">
    <xf numFmtId="0" fontId="0" fillId="0" borderId="0" xfId="0"/>
    <xf numFmtId="0" fontId="0" fillId="0" borderId="0" xfId="0" applyFont="1"/>
    <xf numFmtId="0" fontId="3" fillId="0" borderId="0" xfId="0" applyFont="1" applyFill="1"/>
    <xf numFmtId="167" fontId="6" fillId="0" borderId="0" xfId="0" applyNumberFormat="1" applyFont="1"/>
    <xf numFmtId="0" fontId="3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/>
    <xf numFmtId="167" fontId="8" fillId="0" borderId="0" xfId="0" applyNumberFormat="1" applyFont="1"/>
    <xf numFmtId="167" fontId="3" fillId="0" borderId="0" xfId="0" applyNumberFormat="1" applyFont="1"/>
    <xf numFmtId="0" fontId="6" fillId="0" borderId="0" xfId="0" applyFont="1" applyFill="1"/>
    <xf numFmtId="0" fontId="0" fillId="0" borderId="0" xfId="0" applyBorder="1"/>
    <xf numFmtId="0" fontId="0" fillId="0" borderId="0" xfId="0" applyFill="1"/>
    <xf numFmtId="0" fontId="19" fillId="0" borderId="0" xfId="0" applyFont="1"/>
    <xf numFmtId="0" fontId="21" fillId="0" borderId="0" xfId="0" applyFont="1"/>
    <xf numFmtId="0" fontId="9" fillId="0" borderId="0" xfId="0" applyFont="1"/>
    <xf numFmtId="10" fontId="11" fillId="0" borderId="0" xfId="0" applyNumberFormat="1" applyFont="1"/>
    <xf numFmtId="167" fontId="7" fillId="0" borderId="0" xfId="0" applyNumberFormat="1" applyFont="1"/>
    <xf numFmtId="167" fontId="11" fillId="0" borderId="0" xfId="0" applyNumberFormat="1" applyFont="1"/>
    <xf numFmtId="0" fontId="9" fillId="0" borderId="0" xfId="0" applyFont="1" applyFill="1" applyBorder="1"/>
    <xf numFmtId="0" fontId="3" fillId="0" borderId="0" xfId="0" applyFont="1" applyFill="1" applyAlignment="1">
      <alignment horizontal="center"/>
    </xf>
    <xf numFmtId="178" fontId="6" fillId="0" borderId="0" xfId="0" applyNumberFormat="1" applyFont="1" applyFill="1"/>
    <xf numFmtId="167" fontId="0" fillId="0" borderId="0" xfId="0" applyNumberFormat="1" applyFill="1"/>
    <xf numFmtId="0" fontId="3" fillId="3" borderId="3" xfId="0" applyFont="1" applyFill="1" applyBorder="1"/>
    <xf numFmtId="167" fontId="9" fillId="0" borderId="0" xfId="0" applyNumberFormat="1" applyFont="1"/>
    <xf numFmtId="0" fontId="9" fillId="5" borderId="3" xfId="0" applyFont="1" applyFill="1" applyBorder="1"/>
    <xf numFmtId="0" fontId="3" fillId="5" borderId="3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/>
    <xf numFmtId="9" fontId="3" fillId="0" borderId="0" xfId="1" applyFont="1" applyAlignment="1">
      <alignment horizontal="center"/>
    </xf>
    <xf numFmtId="9" fontId="4" fillId="0" borderId="0" xfId="1" applyFont="1" applyAlignment="1">
      <alignment horizontal="center"/>
    </xf>
    <xf numFmtId="167" fontId="3" fillId="0" borderId="0" xfId="0" applyNumberFormat="1" applyFont="1" applyFill="1"/>
    <xf numFmtId="167" fontId="3" fillId="0" borderId="0" xfId="0" applyNumberFormat="1" applyFont="1" applyAlignment="1">
      <alignment horizontal="center"/>
    </xf>
    <xf numFmtId="167" fontId="4" fillId="0" borderId="0" xfId="0" applyNumberFormat="1" applyFont="1" applyFill="1"/>
    <xf numFmtId="167" fontId="4" fillId="0" borderId="0" xfId="0" applyNumberFormat="1" applyFont="1" applyAlignment="1">
      <alignment horizontal="center"/>
    </xf>
    <xf numFmtId="9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0" fontId="21" fillId="0" borderId="0" xfId="0" applyFont="1" applyBorder="1"/>
    <xf numFmtId="0" fontId="0" fillId="0" borderId="45" xfId="0" applyFill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44" xfId="0" applyFont="1" applyFill="1" applyBorder="1"/>
    <xf numFmtId="0" fontId="0" fillId="0" borderId="52" xfId="0" applyFill="1" applyBorder="1"/>
    <xf numFmtId="0" fontId="0" fillId="0" borderId="24" xfId="0" applyFill="1" applyBorder="1"/>
    <xf numFmtId="167" fontId="3" fillId="0" borderId="6" xfId="0" applyNumberFormat="1" applyFont="1" applyFill="1" applyBorder="1" applyAlignment="1">
      <alignment horizontal="center"/>
    </xf>
    <xf numFmtId="0" fontId="0" fillId="0" borderId="6" xfId="0" applyFill="1" applyBorder="1"/>
    <xf numFmtId="0" fontId="3" fillId="0" borderId="6" xfId="0" applyFont="1" applyBorder="1"/>
    <xf numFmtId="0" fontId="3" fillId="0" borderId="25" xfId="0" applyFont="1" applyBorder="1" applyAlignment="1">
      <alignment horizontal="right"/>
    </xf>
    <xf numFmtId="0" fontId="0" fillId="0" borderId="44" xfId="0" applyFill="1" applyBorder="1" applyAlignment="1">
      <alignment horizontal="left"/>
    </xf>
    <xf numFmtId="167" fontId="3" fillId="0" borderId="24" xfId="0" applyNumberFormat="1" applyFont="1" applyFill="1" applyBorder="1" applyAlignment="1">
      <alignment horizontal="left"/>
    </xf>
    <xf numFmtId="0" fontId="27" fillId="0" borderId="0" xfId="0" applyFont="1"/>
    <xf numFmtId="0" fontId="27" fillId="6" borderId="0" xfId="0" applyFont="1" applyFill="1" applyAlignment="1">
      <alignment horizontal="center" vertical="center" wrapText="1" shrinkToFit="1"/>
    </xf>
    <xf numFmtId="0" fontId="27" fillId="6" borderId="0" xfId="0" applyFont="1" applyFill="1" applyAlignment="1">
      <alignment horizontal="center" wrapText="1" shrinkToFit="1"/>
    </xf>
    <xf numFmtId="2" fontId="27" fillId="6" borderId="0" xfId="0" applyNumberFormat="1" applyFont="1" applyFill="1"/>
    <xf numFmtId="2" fontId="0" fillId="6" borderId="0" xfId="0" applyNumberFormat="1" applyFill="1"/>
    <xf numFmtId="0" fontId="27" fillId="6" borderId="0" xfId="0" applyFont="1" applyFill="1"/>
    <xf numFmtId="0" fontId="0" fillId="6" borderId="0" xfId="0" applyFont="1" applyFill="1" applyAlignment="1">
      <alignment horizontal="center" vertical="center" wrapText="1" shrinkToFit="1"/>
    </xf>
    <xf numFmtId="2" fontId="27" fillId="6" borderId="0" xfId="0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27" fillId="6" borderId="0" xfId="0" applyFont="1" applyFill="1" applyAlignment="1">
      <alignment horizontal="center"/>
    </xf>
    <xf numFmtId="2" fontId="0" fillId="6" borderId="0" xfId="0" applyNumberFormat="1" applyFont="1" applyFill="1"/>
    <xf numFmtId="2" fontId="0" fillId="31" borderId="6" xfId="0" applyNumberFormat="1" applyFill="1" applyBorder="1" applyAlignment="1">
      <alignment horizontal="center"/>
    </xf>
    <xf numFmtId="2" fontId="27" fillId="8" borderId="6" xfId="0" applyNumberFormat="1" applyFont="1" applyFill="1" applyBorder="1" applyAlignment="1">
      <alignment horizontal="center"/>
    </xf>
    <xf numFmtId="2" fontId="0" fillId="31" borderId="6" xfId="0" applyNumberFormat="1" applyFont="1" applyFill="1" applyBorder="1" applyAlignment="1">
      <alignment horizontal="center"/>
    </xf>
    <xf numFmtId="2" fontId="27" fillId="31" borderId="6" xfId="0" applyNumberFormat="1" applyFont="1" applyFill="1" applyBorder="1" applyAlignment="1">
      <alignment horizontal="center"/>
    </xf>
    <xf numFmtId="0" fontId="27" fillId="31" borderId="6" xfId="0" applyFont="1" applyFill="1" applyBorder="1" applyAlignment="1">
      <alignment horizontal="center"/>
    </xf>
    <xf numFmtId="0" fontId="27" fillId="8" borderId="6" xfId="0" applyFont="1" applyFill="1" applyBorder="1" applyAlignment="1">
      <alignment vertical="center"/>
    </xf>
    <xf numFmtId="0" fontId="27" fillId="8" borderId="6" xfId="0" applyFont="1" applyFill="1" applyBorder="1"/>
    <xf numFmtId="0" fontId="27" fillId="0" borderId="6" xfId="0" applyFont="1" applyBorder="1"/>
    <xf numFmtId="2" fontId="0" fillId="11" borderId="6" xfId="0" applyNumberFormat="1" applyFill="1" applyBorder="1" applyAlignment="1">
      <alignment horizontal="center"/>
    </xf>
    <xf numFmtId="2" fontId="0" fillId="11" borderId="6" xfId="0" applyNumberFormat="1" applyFont="1" applyFill="1" applyBorder="1" applyAlignment="1">
      <alignment horizontal="center"/>
    </xf>
    <xf numFmtId="2" fontId="27" fillId="11" borderId="6" xfId="0" applyNumberFormat="1" applyFont="1" applyFill="1" applyBorder="1" applyAlignment="1">
      <alignment horizontal="center"/>
    </xf>
    <xf numFmtId="0" fontId="27" fillId="11" borderId="6" xfId="0" applyFont="1" applyFill="1" applyBorder="1" applyAlignment="1">
      <alignment horizontal="center"/>
    </xf>
    <xf numFmtId="2" fontId="27" fillId="8" borderId="6" xfId="0" applyNumberFormat="1" applyFont="1" applyFill="1" applyBorder="1"/>
    <xf numFmtId="2" fontId="0" fillId="32" borderId="6" xfId="0" applyNumberFormat="1" applyFill="1" applyBorder="1"/>
    <xf numFmtId="2" fontId="0" fillId="32" borderId="6" xfId="0" applyNumberFormat="1" applyFont="1" applyFill="1" applyBorder="1"/>
    <xf numFmtId="2" fontId="27" fillId="32" borderId="6" xfId="0" applyNumberFormat="1" applyFont="1" applyFill="1" applyBorder="1"/>
    <xf numFmtId="0" fontId="27" fillId="32" borderId="6" xfId="0" applyFont="1" applyFill="1" applyBorder="1"/>
    <xf numFmtId="2" fontId="0" fillId="14" borderId="6" xfId="0" applyNumberFormat="1" applyFill="1" applyBorder="1"/>
    <xf numFmtId="2" fontId="0" fillId="14" borderId="6" xfId="0" applyNumberFormat="1" applyFont="1" applyFill="1" applyBorder="1"/>
    <xf numFmtId="2" fontId="27" fillId="14" borderId="6" xfId="0" applyNumberFormat="1" applyFont="1" applyFill="1" applyBorder="1"/>
    <xf numFmtId="0" fontId="27" fillId="14" borderId="6" xfId="0" applyFont="1" applyFill="1" applyBorder="1"/>
    <xf numFmtId="2" fontId="0" fillId="33" borderId="6" xfId="0" applyNumberFormat="1" applyFill="1" applyBorder="1"/>
    <xf numFmtId="2" fontId="0" fillId="8" borderId="6" xfId="0" applyNumberFormat="1" applyFill="1" applyBorder="1"/>
    <xf numFmtId="2" fontId="0" fillId="33" borderId="6" xfId="0" applyNumberFormat="1" applyFont="1" applyFill="1" applyBorder="1"/>
    <xf numFmtId="0" fontId="27" fillId="33" borderId="6" xfId="0" applyFont="1" applyFill="1" applyBorder="1"/>
    <xf numFmtId="0" fontId="0" fillId="33" borderId="6" xfId="0" applyFill="1" applyBorder="1"/>
    <xf numFmtId="9" fontId="1" fillId="33" borderId="6" xfId="1" applyFill="1" applyBorder="1"/>
    <xf numFmtId="9" fontId="1" fillId="8" borderId="6" xfId="1" applyFill="1" applyBorder="1"/>
    <xf numFmtId="9" fontId="1" fillId="14" borderId="6" xfId="1" applyFill="1" applyBorder="1"/>
    <xf numFmtId="9" fontId="1" fillId="32" borderId="6" xfId="1" applyFill="1" applyBorder="1"/>
    <xf numFmtId="9" fontId="1" fillId="0" borderId="0" xfId="1"/>
    <xf numFmtId="9" fontId="1" fillId="11" borderId="6" xfId="1" applyFill="1" applyBorder="1" applyAlignment="1">
      <alignment horizontal="center"/>
    </xf>
    <xf numFmtId="9" fontId="1" fillId="8" borderId="6" xfId="1" applyFill="1" applyBorder="1" applyAlignment="1">
      <alignment horizontal="center"/>
    </xf>
    <xf numFmtId="9" fontId="1" fillId="31" borderId="6" xfId="1" applyFill="1" applyBorder="1" applyAlignment="1">
      <alignment horizontal="center"/>
    </xf>
    <xf numFmtId="2" fontId="28" fillId="32" borderId="6" xfId="0" applyNumberFormat="1" applyFont="1" applyFill="1" applyBorder="1"/>
    <xf numFmtId="167" fontId="0" fillId="0" borderId="0" xfId="0" applyNumberFormat="1"/>
    <xf numFmtId="0" fontId="30" fillId="34" borderId="53" xfId="0" applyFont="1" applyFill="1" applyBorder="1" applyAlignment="1">
      <alignment horizontal="center"/>
    </xf>
    <xf numFmtId="9" fontId="29" fillId="0" borderId="53" xfId="1" applyNumberFormat="1" applyFont="1" applyBorder="1" applyAlignment="1">
      <alignment horizontal="center"/>
    </xf>
    <xf numFmtId="9" fontId="31" fillId="0" borderId="54" xfId="1" applyNumberFormat="1" applyFont="1" applyBorder="1" applyAlignment="1">
      <alignment horizontal="center"/>
    </xf>
    <xf numFmtId="0" fontId="6" fillId="0" borderId="0" xfId="0" applyFont="1" applyFill="1" applyAlignment="1">
      <alignment horizontal="center" vertical="center" wrapText="1" shrinkToFit="1"/>
    </xf>
    <xf numFmtId="49" fontId="21" fillId="0" borderId="0" xfId="0" applyNumberFormat="1" applyFont="1" applyBorder="1"/>
    <xf numFmtId="9" fontId="3" fillId="0" borderId="0" xfId="0" applyNumberFormat="1" applyFont="1" applyFill="1"/>
    <xf numFmtId="0" fontId="8" fillId="0" borderId="0" xfId="0" applyFont="1" applyAlignment="1">
      <alignment horizontal="center"/>
    </xf>
    <xf numFmtId="0" fontId="4" fillId="0" borderId="0" xfId="0" applyFont="1" applyFill="1"/>
    <xf numFmtId="167" fontId="4" fillId="0" borderId="0" xfId="0" applyNumberFormat="1" applyFont="1"/>
    <xf numFmtId="9" fontId="4" fillId="0" borderId="0" xfId="1" applyFont="1" applyAlignment="1">
      <alignment horizontal="center" vertical="center"/>
    </xf>
    <xf numFmtId="10" fontId="15" fillId="0" borderId="0" xfId="0" applyNumberFormat="1" applyFont="1" applyFill="1" applyBorder="1" applyAlignment="1">
      <alignment horizontal="left"/>
    </xf>
    <xf numFmtId="10" fontId="15" fillId="0" borderId="52" xfId="0" applyNumberFormat="1" applyFont="1" applyFill="1" applyBorder="1" applyAlignment="1">
      <alignment horizontal="left"/>
    </xf>
    <xf numFmtId="167" fontId="20" fillId="0" borderId="6" xfId="0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9" fontId="3" fillId="0" borderId="44" xfId="1" applyFont="1" applyFill="1" applyBorder="1" applyAlignment="1">
      <alignment horizontal="center"/>
    </xf>
    <xf numFmtId="0" fontId="3" fillId="0" borderId="45" xfId="0" applyFont="1" applyBorder="1" applyAlignment="1">
      <alignment horizontal="right"/>
    </xf>
    <xf numFmtId="0" fontId="1" fillId="0" borderId="0" xfId="2"/>
    <xf numFmtId="0" fontId="1" fillId="0" borderId="0" xfId="2" applyAlignment="1">
      <alignment horizontal="center"/>
    </xf>
    <xf numFmtId="0" fontId="6" fillId="0" borderId="3" xfId="2" applyFont="1" applyBorder="1"/>
    <xf numFmtId="0" fontId="1" fillId="0" borderId="3" xfId="2" applyBorder="1"/>
    <xf numFmtId="0" fontId="1" fillId="0" borderId="3" xfId="2" applyFont="1" applyBorder="1"/>
    <xf numFmtId="0" fontId="1" fillId="0" borderId="55" xfId="2" applyFont="1" applyFill="1" applyBorder="1"/>
    <xf numFmtId="2" fontId="33" fillId="32" borderId="6" xfId="0" applyNumberFormat="1" applyFont="1" applyFill="1" applyBorder="1"/>
    <xf numFmtId="0" fontId="4" fillId="0" borderId="2" xfId="2" applyFont="1" applyBorder="1"/>
    <xf numFmtId="0" fontId="6" fillId="0" borderId="2" xfId="2" applyFont="1" applyBorder="1"/>
    <xf numFmtId="0" fontId="1" fillId="0" borderId="2" xfId="2" applyFont="1" applyBorder="1"/>
    <xf numFmtId="172" fontId="0" fillId="0" borderId="0" xfId="0" applyNumberFormat="1"/>
    <xf numFmtId="0" fontId="34" fillId="0" borderId="0" xfId="0" applyFont="1"/>
    <xf numFmtId="2" fontId="35" fillId="8" borderId="6" xfId="0" applyNumberFormat="1" applyFont="1" applyFill="1" applyBorder="1"/>
    <xf numFmtId="2" fontId="34" fillId="32" borderId="6" xfId="0" applyNumberFormat="1" applyFont="1" applyFill="1" applyBorder="1"/>
    <xf numFmtId="2" fontId="36" fillId="32" borderId="6" xfId="0" applyNumberFormat="1" applyFont="1" applyFill="1" applyBorder="1"/>
    <xf numFmtId="9" fontId="34" fillId="32" borderId="6" xfId="1" applyFont="1" applyFill="1" applyBorder="1"/>
    <xf numFmtId="9" fontId="34" fillId="8" borderId="6" xfId="1" applyFont="1" applyFill="1" applyBorder="1"/>
    <xf numFmtId="49" fontId="27" fillId="8" borderId="6" xfId="0" applyNumberFormat="1" applyFont="1" applyFill="1" applyBorder="1"/>
    <xf numFmtId="2" fontId="27" fillId="8" borderId="6" xfId="0" applyNumberFormat="1" applyFont="1" applyFill="1" applyBorder="1" applyAlignment="1">
      <alignment horizontal="center" vertical="center"/>
    </xf>
    <xf numFmtId="2" fontId="0" fillId="32" borderId="6" xfId="0" applyNumberFormat="1" applyFill="1" applyBorder="1" applyAlignment="1">
      <alignment horizontal="center"/>
    </xf>
    <xf numFmtId="2" fontId="0" fillId="32" borderId="6" xfId="0" applyNumberFormat="1" applyFill="1" applyBorder="1" applyAlignment="1">
      <alignment horizontal="center" vertical="center"/>
    </xf>
    <xf numFmtId="2" fontId="27" fillId="33" borderId="6" xfId="0" applyNumberFormat="1" applyFont="1" applyFill="1" applyBorder="1"/>
    <xf numFmtId="0" fontId="34" fillId="0" borderId="0" xfId="0" applyFont="1" applyAlignment="1">
      <alignment horizontal="center" vertical="center"/>
    </xf>
    <xf numFmtId="0" fontId="34" fillId="32" borderId="29" xfId="0" applyFont="1" applyFill="1" applyBorder="1" applyAlignment="1">
      <alignment horizontal="center" vertical="center" wrapText="1" shrinkToFit="1"/>
    </xf>
    <xf numFmtId="2" fontId="35" fillId="8" borderId="6" xfId="0" applyNumberFormat="1" applyFont="1" applyFill="1" applyBorder="1" applyAlignment="1">
      <alignment horizontal="center" vertical="center"/>
    </xf>
    <xf numFmtId="2" fontId="34" fillId="32" borderId="6" xfId="0" applyNumberFormat="1" applyFont="1" applyFill="1" applyBorder="1" applyAlignment="1">
      <alignment horizontal="center" vertical="center"/>
    </xf>
    <xf numFmtId="9" fontId="34" fillId="32" borderId="6" xfId="1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wrapText="1"/>
    </xf>
    <xf numFmtId="167" fontId="17" fillId="4" borderId="6" xfId="0" applyNumberFormat="1" applyFont="1" applyFill="1" applyBorder="1"/>
    <xf numFmtId="0" fontId="0" fillId="4" borderId="6" xfId="0" applyFill="1" applyBorder="1"/>
    <xf numFmtId="167" fontId="17" fillId="35" borderId="6" xfId="0" applyNumberFormat="1" applyFont="1" applyFill="1" applyBorder="1"/>
    <xf numFmtId="0" fontId="9" fillId="0" borderId="6" xfId="0" applyFont="1" applyBorder="1"/>
    <xf numFmtId="9" fontId="32" fillId="0" borderId="6" xfId="1" applyFont="1" applyBorder="1"/>
    <xf numFmtId="0" fontId="13" fillId="10" borderId="21" xfId="0" applyFont="1" applyFill="1" applyBorder="1" applyAlignment="1">
      <alignment horizontal="center" vertical="center" wrapText="1"/>
    </xf>
    <xf numFmtId="167" fontId="6" fillId="0" borderId="22" xfId="0" applyNumberFormat="1" applyFont="1" applyBorder="1"/>
    <xf numFmtId="0" fontId="13" fillId="10" borderId="22" xfId="0" applyFont="1" applyFill="1" applyBorder="1" applyAlignment="1">
      <alignment horizontal="center" vertical="center" wrapText="1"/>
    </xf>
    <xf numFmtId="167" fontId="17" fillId="4" borderId="22" xfId="0" applyNumberFormat="1" applyFont="1" applyFill="1" applyBorder="1"/>
    <xf numFmtId="0" fontId="0" fillId="4" borderId="22" xfId="0" applyFill="1" applyBorder="1"/>
    <xf numFmtId="0" fontId="18" fillId="0" borderId="0" xfId="0" applyFont="1" applyBorder="1"/>
    <xf numFmtId="0" fontId="23" fillId="0" borderId="0" xfId="0" applyFont="1" applyBorder="1"/>
    <xf numFmtId="49" fontId="23" fillId="0" borderId="0" xfId="0" applyNumberFormat="1" applyFont="1" applyBorder="1"/>
    <xf numFmtId="0" fontId="13" fillId="37" borderId="6" xfId="0" applyFont="1" applyFill="1" applyBorder="1" applyAlignment="1">
      <alignment horizontal="center" vertical="center" wrapText="1"/>
    </xf>
    <xf numFmtId="167" fontId="16" fillId="37" borderId="6" xfId="0" applyNumberFormat="1" applyFont="1" applyFill="1" applyBorder="1" applyAlignment="1">
      <alignment horizontal="center" vertical="center" wrapText="1"/>
    </xf>
    <xf numFmtId="167" fontId="3" fillId="40" borderId="6" xfId="0" applyNumberFormat="1" applyFont="1" applyFill="1" applyBorder="1" applyAlignment="1">
      <alignment horizontal="center"/>
    </xf>
    <xf numFmtId="167" fontId="6" fillId="40" borderId="6" xfId="0" applyNumberFormat="1" applyFont="1" applyFill="1" applyBorder="1" applyAlignment="1">
      <alignment horizontal="center"/>
    </xf>
    <xf numFmtId="167" fontId="16" fillId="4" borderId="6" xfId="0" applyNumberFormat="1" applyFont="1" applyFill="1" applyBorder="1" applyAlignment="1">
      <alignment horizontal="center" vertical="center" wrapText="1"/>
    </xf>
    <xf numFmtId="167" fontId="6" fillId="4" borderId="6" xfId="0" applyNumberFormat="1" applyFont="1" applyFill="1" applyBorder="1" applyAlignment="1">
      <alignment horizontal="center"/>
    </xf>
    <xf numFmtId="167" fontId="20" fillId="37" borderId="6" xfId="0" applyNumberFormat="1" applyFont="1" applyFill="1" applyBorder="1" applyAlignment="1">
      <alignment horizontal="center"/>
    </xf>
    <xf numFmtId="167" fontId="3" fillId="37" borderId="6" xfId="0" applyNumberFormat="1" applyFont="1" applyFill="1" applyBorder="1" applyAlignment="1">
      <alignment horizontal="center"/>
    </xf>
    <xf numFmtId="167" fontId="17" fillId="4" borderId="6" xfId="0" applyNumberFormat="1" applyFont="1" applyFill="1" applyBorder="1" applyAlignment="1">
      <alignment horizontal="center"/>
    </xf>
    <xf numFmtId="167" fontId="22" fillId="4" borderId="6" xfId="0" applyNumberFormat="1" applyFont="1" applyFill="1" applyBorder="1" applyAlignment="1">
      <alignment horizontal="center"/>
    </xf>
    <xf numFmtId="167" fontId="15" fillId="37" borderId="6" xfId="0" applyNumberFormat="1" applyFont="1" applyFill="1" applyBorder="1" applyAlignment="1">
      <alignment horizontal="center"/>
    </xf>
    <xf numFmtId="167" fontId="6" fillId="37" borderId="6" xfId="0" applyNumberFormat="1" applyFont="1" applyFill="1" applyBorder="1" applyAlignment="1">
      <alignment horizontal="center"/>
    </xf>
    <xf numFmtId="167" fontId="20" fillId="4" borderId="6" xfId="0" applyNumberFormat="1" applyFont="1" applyFill="1" applyBorder="1" applyAlignment="1">
      <alignment horizontal="center"/>
    </xf>
    <xf numFmtId="167" fontId="3" fillId="4" borderId="6" xfId="0" applyNumberFormat="1" applyFont="1" applyFill="1" applyBorder="1" applyAlignment="1">
      <alignment horizontal="center"/>
    </xf>
    <xf numFmtId="167" fontId="17" fillId="39" borderId="6" xfId="0" applyNumberFormat="1" applyFont="1" applyFill="1" applyBorder="1"/>
    <xf numFmtId="167" fontId="17" fillId="4" borderId="22" xfId="0" applyNumberFormat="1" applyFont="1" applyFill="1" applyBorder="1" applyAlignment="1">
      <alignment horizontal="center"/>
    </xf>
    <xf numFmtId="167" fontId="17" fillId="4" borderId="21" xfId="0" applyNumberFormat="1" applyFont="1" applyFill="1" applyBorder="1"/>
    <xf numFmtId="167" fontId="3" fillId="40" borderId="22" xfId="0" applyNumberFormat="1" applyFont="1" applyFill="1" applyBorder="1" applyAlignment="1">
      <alignment horizontal="center"/>
    </xf>
    <xf numFmtId="167" fontId="6" fillId="40" borderId="22" xfId="0" applyNumberFormat="1" applyFont="1" applyFill="1" applyBorder="1" applyAlignment="1">
      <alignment horizontal="center"/>
    </xf>
    <xf numFmtId="167" fontId="6" fillId="4" borderId="22" xfId="0" applyNumberFormat="1" applyFont="1" applyFill="1" applyBorder="1" applyAlignment="1">
      <alignment horizontal="center"/>
    </xf>
    <xf numFmtId="167" fontId="3" fillId="4" borderId="22" xfId="0" applyNumberFormat="1" applyFont="1" applyFill="1" applyBorder="1" applyAlignment="1">
      <alignment horizontal="center"/>
    </xf>
    <xf numFmtId="0" fontId="13" fillId="37" borderId="29" xfId="0" applyFont="1" applyFill="1" applyBorder="1" applyAlignment="1">
      <alignment horizontal="center" vertical="center" wrapText="1"/>
    </xf>
    <xf numFmtId="167" fontId="16" fillId="37" borderId="29" xfId="0" applyNumberFormat="1" applyFont="1" applyFill="1" applyBorder="1" applyAlignment="1">
      <alignment horizontal="center" vertical="center" wrapText="1"/>
    </xf>
    <xf numFmtId="167" fontId="16" fillId="4" borderId="29" xfId="0" applyNumberFormat="1" applyFont="1" applyFill="1" applyBorder="1" applyAlignment="1">
      <alignment horizontal="center" vertical="center" wrapText="1"/>
    </xf>
    <xf numFmtId="167" fontId="3" fillId="37" borderId="29" xfId="0" applyNumberFormat="1" applyFont="1" applyFill="1" applyBorder="1" applyAlignment="1">
      <alignment horizontal="center"/>
    </xf>
    <xf numFmtId="167" fontId="17" fillId="4" borderId="29" xfId="0" applyNumberFormat="1" applyFont="1" applyFill="1" applyBorder="1" applyAlignment="1">
      <alignment horizontal="center"/>
    </xf>
    <xf numFmtId="167" fontId="6" fillId="37" borderId="29" xfId="0" applyNumberFormat="1" applyFont="1" applyFill="1" applyBorder="1" applyAlignment="1">
      <alignment horizontal="center"/>
    </xf>
    <xf numFmtId="167" fontId="3" fillId="4" borderId="29" xfId="0" applyNumberFormat="1" applyFont="1" applyFill="1" applyBorder="1" applyAlignment="1">
      <alignment horizontal="center"/>
    </xf>
    <xf numFmtId="167" fontId="17" fillId="4" borderId="29" xfId="0" applyNumberFormat="1" applyFont="1" applyFill="1" applyBorder="1"/>
    <xf numFmtId="167" fontId="17" fillId="39" borderId="35" xfId="0" applyNumberFormat="1" applyFont="1" applyFill="1" applyBorder="1" applyAlignment="1">
      <alignment horizontal="center"/>
    </xf>
    <xf numFmtId="167" fontId="17" fillId="39" borderId="36" xfId="0" applyNumberFormat="1" applyFont="1" applyFill="1" applyBorder="1" applyAlignment="1">
      <alignment horizontal="center"/>
    </xf>
    <xf numFmtId="0" fontId="25" fillId="0" borderId="52" xfId="0" applyFont="1" applyBorder="1"/>
    <xf numFmtId="0" fontId="24" fillId="0" borderId="52" xfId="0" applyFont="1" applyFill="1" applyBorder="1"/>
    <xf numFmtId="167" fontId="17" fillId="39" borderId="47" xfId="0" applyNumberFormat="1" applyFont="1" applyFill="1" applyBorder="1" applyAlignment="1">
      <alignment horizontal="center"/>
    </xf>
    <xf numFmtId="174" fontId="0" fillId="0" borderId="0" xfId="0" applyNumberFormat="1"/>
    <xf numFmtId="167" fontId="6" fillId="0" borderId="0" xfId="0" applyNumberFormat="1" applyFont="1" applyFill="1"/>
    <xf numFmtId="167" fontId="5" fillId="35" borderId="6" xfId="0" applyNumberFormat="1" applyFont="1" applyFill="1" applyBorder="1"/>
    <xf numFmtId="181" fontId="38" fillId="0" borderId="0" xfId="0" applyNumberFormat="1" applyFont="1"/>
    <xf numFmtId="165" fontId="27" fillId="32" borderId="6" xfId="0" applyNumberFormat="1" applyFont="1" applyFill="1" applyBorder="1"/>
    <xf numFmtId="165" fontId="35" fillId="32" borderId="6" xfId="0" applyNumberFormat="1" applyFont="1" applyFill="1" applyBorder="1"/>
    <xf numFmtId="167" fontId="15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8" xfId="0" applyFont="1" applyFill="1" applyBorder="1" applyAlignment="1">
      <alignment horizontal="right"/>
    </xf>
    <xf numFmtId="0" fontId="20" fillId="0" borderId="28" xfId="0" applyFont="1" applyFill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7" fillId="0" borderId="17" xfId="0" applyFont="1" applyBorder="1"/>
    <xf numFmtId="2" fontId="27" fillId="8" borderId="29" xfId="0" applyNumberFormat="1" applyFont="1" applyFill="1" applyBorder="1"/>
    <xf numFmtId="2" fontId="27" fillId="8" borderId="59" xfId="0" applyNumberFormat="1" applyFont="1" applyFill="1" applyBorder="1" applyAlignment="1">
      <alignment horizontal="center" vertical="center"/>
    </xf>
    <xf numFmtId="2" fontId="27" fillId="33" borderId="1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32" borderId="6" xfId="0" applyNumberFormat="1" applyFont="1" applyFill="1" applyBorder="1" applyAlignment="1">
      <alignment horizontal="center" vertical="center"/>
    </xf>
    <xf numFmtId="0" fontId="27" fillId="32" borderId="6" xfId="0" applyFont="1" applyFill="1" applyBorder="1" applyAlignment="1">
      <alignment horizontal="center" vertical="center"/>
    </xf>
    <xf numFmtId="167" fontId="6" fillId="0" borderId="6" xfId="0" applyNumberFormat="1" applyFont="1" applyFill="1" applyBorder="1" applyAlignment="1">
      <alignment horizontal="center" vertical="center" wrapText="1"/>
    </xf>
    <xf numFmtId="44" fontId="0" fillId="0" borderId="0" xfId="6" applyFont="1"/>
    <xf numFmtId="169" fontId="0" fillId="6" borderId="0" xfId="0" applyNumberFormat="1" applyFont="1" applyFill="1"/>
    <xf numFmtId="169" fontId="0" fillId="0" borderId="0" xfId="0" applyNumberFormat="1"/>
    <xf numFmtId="169" fontId="34" fillId="0" borderId="0" xfId="0" applyNumberFormat="1" applyFont="1"/>
    <xf numFmtId="2" fontId="35" fillId="32" borderId="6" xfId="0" applyNumberFormat="1" applyFont="1" applyFill="1" applyBorder="1"/>
    <xf numFmtId="2" fontId="1" fillId="32" borderId="6" xfId="1" applyNumberFormat="1" applyFill="1" applyBorder="1"/>
    <xf numFmtId="0" fontId="0" fillId="0" borderId="3" xfId="2" applyFont="1" applyBorder="1"/>
    <xf numFmtId="49" fontId="0" fillId="0" borderId="6" xfId="0" applyNumberFormat="1" applyBorder="1"/>
    <xf numFmtId="0" fontId="43" fillId="0" borderId="0" xfId="0" applyFont="1"/>
    <xf numFmtId="4" fontId="43" fillId="0" borderId="0" xfId="0" applyNumberFormat="1" applyFont="1"/>
    <xf numFmtId="2" fontId="0" fillId="31" borderId="28" xfId="0" applyNumberFormat="1" applyFill="1" applyBorder="1" applyAlignment="1">
      <alignment horizontal="center"/>
    </xf>
    <xf numFmtId="0" fontId="27" fillId="8" borderId="30" xfId="0" applyFont="1" applyFill="1" applyBorder="1" applyAlignment="1">
      <alignment vertical="center"/>
    </xf>
    <xf numFmtId="0" fontId="27" fillId="8" borderId="7" xfId="0" applyFont="1" applyFill="1" applyBorder="1"/>
    <xf numFmtId="0" fontId="5" fillId="4" borderId="13" xfId="0" applyFont="1" applyFill="1" applyBorder="1" applyAlignment="1">
      <alignment horizontal="left" vertical="center"/>
    </xf>
    <xf numFmtId="167" fontId="19" fillId="0" borderId="0" xfId="0" applyNumberFormat="1" applyFont="1"/>
    <xf numFmtId="167" fontId="45" fillId="0" borderId="0" xfId="0" applyNumberFormat="1" applyFont="1"/>
    <xf numFmtId="0" fontId="5" fillId="4" borderId="17" xfId="0" applyFont="1" applyFill="1" applyBorder="1"/>
    <xf numFmtId="0" fontId="17" fillId="4" borderId="17" xfId="0" applyFont="1" applyFill="1" applyBorder="1"/>
    <xf numFmtId="0" fontId="7" fillId="0" borderId="0" xfId="0" applyFont="1" applyBorder="1"/>
    <xf numFmtId="167" fontId="46" fillId="0" borderId="0" xfId="0" applyNumberFormat="1" applyFont="1"/>
    <xf numFmtId="167" fontId="17" fillId="38" borderId="35" xfId="0" applyNumberFormat="1" applyFont="1" applyFill="1" applyBorder="1" applyAlignment="1">
      <alignment horizontal="center"/>
    </xf>
    <xf numFmtId="167" fontId="17" fillId="38" borderId="36" xfId="0" applyNumberFormat="1" applyFont="1" applyFill="1" applyBorder="1" applyAlignment="1">
      <alignment horizontal="center"/>
    </xf>
    <xf numFmtId="0" fontId="0" fillId="0" borderId="79" xfId="0" applyFont="1" applyBorder="1"/>
    <xf numFmtId="0" fontId="44" fillId="0" borderId="63" xfId="0" applyFont="1" applyBorder="1"/>
    <xf numFmtId="167" fontId="47" fillId="0" borderId="63" xfId="0" applyNumberFormat="1" applyFont="1" applyBorder="1"/>
    <xf numFmtId="0" fontId="24" fillId="0" borderId="63" xfId="0" applyFont="1" applyFill="1" applyBorder="1"/>
    <xf numFmtId="0" fontId="0" fillId="0" borderId="63" xfId="0" applyFill="1" applyBorder="1"/>
    <xf numFmtId="0" fontId="6" fillId="0" borderId="63" xfId="0" applyFont="1" applyFill="1" applyBorder="1"/>
    <xf numFmtId="0" fontId="0" fillId="0" borderId="63" xfId="0" applyBorder="1"/>
    <xf numFmtId="0" fontId="0" fillId="0" borderId="25" xfId="0" applyFont="1" applyBorder="1"/>
    <xf numFmtId="0" fontId="6" fillId="0" borderId="52" xfId="0" applyFont="1" applyFill="1" applyBorder="1"/>
    <xf numFmtId="0" fontId="0" fillId="0" borderId="6" xfId="0" applyFont="1" applyBorder="1"/>
    <xf numFmtId="0" fontId="0" fillId="0" borderId="0" xfId="0" applyFont="1" applyFill="1" applyBorder="1"/>
    <xf numFmtId="167" fontId="3" fillId="0" borderId="0" xfId="0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right"/>
    </xf>
    <xf numFmtId="10" fontId="15" fillId="0" borderId="51" xfId="0" applyNumberFormat="1" applyFont="1" applyFill="1" applyBorder="1" applyAlignment="1">
      <alignment horizontal="left"/>
    </xf>
    <xf numFmtId="164" fontId="15" fillId="0" borderId="6" xfId="5" applyFont="1" applyFill="1" applyBorder="1" applyAlignment="1">
      <alignment horizontal="left"/>
    </xf>
    <xf numFmtId="9" fontId="3" fillId="0" borderId="33" xfId="1" applyFont="1" applyFill="1" applyBorder="1" applyAlignment="1">
      <alignment horizontal="left"/>
    </xf>
    <xf numFmtId="0" fontId="0" fillId="0" borderId="33" xfId="0" applyFill="1" applyBorder="1"/>
    <xf numFmtId="167" fontId="3" fillId="0" borderId="32" xfId="0" applyNumberFormat="1" applyFont="1" applyFill="1" applyBorder="1" applyAlignment="1">
      <alignment horizontal="left"/>
    </xf>
    <xf numFmtId="167" fontId="3" fillId="0" borderId="44" xfId="0" applyNumberFormat="1" applyFont="1" applyFill="1" applyBorder="1" applyAlignment="1">
      <alignment horizontal="left"/>
    </xf>
    <xf numFmtId="0" fontId="20" fillId="0" borderId="29" xfId="0" applyFont="1" applyFill="1" applyBorder="1" applyAlignment="1">
      <alignment horizontal="right"/>
    </xf>
    <xf numFmtId="10" fontId="15" fillId="0" borderId="6" xfId="0" applyNumberFormat="1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left"/>
    </xf>
    <xf numFmtId="0" fontId="3" fillId="0" borderId="29" xfId="0" applyFont="1" applyBorder="1" applyAlignment="1">
      <alignment horizontal="right"/>
    </xf>
    <xf numFmtId="0" fontId="3" fillId="0" borderId="29" xfId="0" applyFont="1" applyBorder="1" applyAlignment="1">
      <alignment horizontal="center"/>
    </xf>
    <xf numFmtId="167" fontId="3" fillId="0" borderId="52" xfId="0" applyNumberFormat="1" applyFont="1" applyFill="1" applyBorder="1" applyAlignment="1">
      <alignment horizontal="center"/>
    </xf>
    <xf numFmtId="168" fontId="3" fillId="0" borderId="0" xfId="0" applyNumberFormat="1" applyFont="1" applyFill="1"/>
    <xf numFmtId="0" fontId="17" fillId="0" borderId="0" xfId="0" applyFont="1" applyFill="1"/>
    <xf numFmtId="167" fontId="17" fillId="0" borderId="0" xfId="0" applyNumberFormat="1" applyFont="1" applyFill="1"/>
    <xf numFmtId="167" fontId="11" fillId="0" borderId="0" xfId="0" applyNumberFormat="1" applyFont="1" applyFill="1"/>
    <xf numFmtId="0" fontId="6" fillId="0" borderId="17" xfId="0" applyFont="1" applyBorder="1"/>
    <xf numFmtId="0" fontId="6" fillId="0" borderId="17" xfId="0" applyFont="1" applyFill="1" applyBorder="1"/>
    <xf numFmtId="49" fontId="17" fillId="4" borderId="17" xfId="0" applyNumberFormat="1" applyFont="1" applyFill="1" applyBorder="1"/>
    <xf numFmtId="49" fontId="6" fillId="0" borderId="17" xfId="0" applyNumberFormat="1" applyFont="1" applyBorder="1"/>
    <xf numFmtId="49" fontId="6" fillId="0" borderId="17" xfId="0" applyNumberFormat="1" applyFont="1" applyFill="1" applyBorder="1"/>
    <xf numFmtId="9" fontId="1" fillId="0" borderId="0" xfId="2" applyNumberFormat="1"/>
    <xf numFmtId="185" fontId="0" fillId="0" borderId="0" xfId="0" applyNumberFormat="1"/>
    <xf numFmtId="0" fontId="0" fillId="0" borderId="2" xfId="2" applyFont="1" applyBorder="1"/>
    <xf numFmtId="0" fontId="24" fillId="0" borderId="2" xfId="2" applyFont="1" applyBorder="1"/>
    <xf numFmtId="44" fontId="1" fillId="0" borderId="6" xfId="6" applyBorder="1" applyAlignment="1">
      <alignment horizontal="center"/>
    </xf>
    <xf numFmtId="44" fontId="1" fillId="0" borderId="3" xfId="6" applyBorder="1" applyAlignment="1">
      <alignment horizontal="center"/>
    </xf>
    <xf numFmtId="44" fontId="1" fillId="0" borderId="57" xfId="6" applyBorder="1" applyAlignment="1">
      <alignment horizontal="center"/>
    </xf>
    <xf numFmtId="44" fontId="27" fillId="0" borderId="6" xfId="6" applyFont="1" applyBorder="1" applyAlignment="1">
      <alignment horizontal="center"/>
    </xf>
    <xf numFmtId="184" fontId="1" fillId="0" borderId="0" xfId="1" applyNumberFormat="1"/>
    <xf numFmtId="6" fontId="0" fillId="0" borderId="0" xfId="0" applyNumberFormat="1"/>
    <xf numFmtId="186" fontId="0" fillId="0" borderId="0" xfId="0" applyNumberFormat="1"/>
    <xf numFmtId="44" fontId="0" fillId="11" borderId="6" xfId="6" applyFont="1" applyFill="1" applyBorder="1"/>
    <xf numFmtId="184" fontId="1" fillId="11" borderId="6" xfId="1" applyNumberFormat="1" applyFill="1" applyBorder="1"/>
    <xf numFmtId="44" fontId="0" fillId="0" borderId="0" xfId="0" applyNumberFormat="1"/>
    <xf numFmtId="0" fontId="54" fillId="0" borderId="2" xfId="2" applyFont="1" applyBorder="1"/>
    <xf numFmtId="44" fontId="54" fillId="0" borderId="6" xfId="6" applyFont="1" applyBorder="1" applyAlignment="1">
      <alignment horizontal="center"/>
    </xf>
    <xf numFmtId="166" fontId="0" fillId="0" borderId="0" xfId="0" applyNumberFormat="1"/>
    <xf numFmtId="184" fontId="0" fillId="0" borderId="0" xfId="0" applyNumberFormat="1"/>
    <xf numFmtId="2" fontId="33" fillId="32" borderId="6" xfId="0" applyNumberFormat="1" applyFont="1" applyFill="1" applyBorder="1" applyAlignment="1">
      <alignment wrapText="1"/>
    </xf>
    <xf numFmtId="0" fontId="0" fillId="14" borderId="6" xfId="0" applyFont="1" applyFill="1" applyBorder="1" applyAlignment="1">
      <alignment horizontal="center" vertical="center"/>
    </xf>
    <xf numFmtId="44" fontId="34" fillId="0" borderId="0" xfId="6" applyFont="1" applyAlignment="1">
      <alignment horizontal="center" vertical="center"/>
    </xf>
    <xf numFmtId="44" fontId="34" fillId="0" borderId="0" xfId="6" applyFont="1"/>
    <xf numFmtId="2" fontId="27" fillId="8" borderId="6" xfId="0" applyNumberFormat="1" applyFont="1" applyFill="1" applyBorder="1" applyAlignment="1">
      <alignment horizontal="right"/>
    </xf>
    <xf numFmtId="10" fontId="1" fillId="33" borderId="6" xfId="1" applyNumberFormat="1" applyFill="1" applyBorder="1"/>
    <xf numFmtId="9" fontId="24" fillId="0" borderId="6" xfId="1" applyFont="1" applyBorder="1" applyAlignment="1">
      <alignment horizontal="center"/>
    </xf>
    <xf numFmtId="0" fontId="55" fillId="0" borderId="13" xfId="0" applyFont="1" applyBorder="1" applyAlignment="1">
      <alignment horizontal="left" vertical="center"/>
    </xf>
    <xf numFmtId="0" fontId="55" fillId="0" borderId="13" xfId="0" applyFont="1" applyBorder="1" applyAlignment="1">
      <alignment vertical="center"/>
    </xf>
    <xf numFmtId="0" fontId="0" fillId="0" borderId="10" xfId="0" quotePrefix="1" applyBorder="1" applyAlignment="1">
      <alignment horizontal="left" indent="1"/>
    </xf>
    <xf numFmtId="0" fontId="0" fillId="0" borderId="9" xfId="0" quotePrefix="1" applyBorder="1" applyAlignment="1">
      <alignment horizontal="left" wrapText="1" indent="1"/>
    </xf>
    <xf numFmtId="0" fontId="0" fillId="0" borderId="10" xfId="0" quotePrefix="1" applyBorder="1" applyAlignment="1">
      <alignment horizontal="left" wrapText="1" indent="1"/>
    </xf>
    <xf numFmtId="0" fontId="55" fillId="0" borderId="0" xfId="0" applyFont="1"/>
    <xf numFmtId="167" fontId="6" fillId="2" borderId="3" xfId="0" applyNumberFormat="1" applyFont="1" applyFill="1" applyBorder="1"/>
    <xf numFmtId="10" fontId="6" fillId="2" borderId="3" xfId="0" applyNumberFormat="1" applyFont="1" applyFill="1" applyBorder="1"/>
    <xf numFmtId="167" fontId="56" fillId="2" borderId="3" xfId="0" applyNumberFormat="1" applyFont="1" applyFill="1" applyBorder="1"/>
    <xf numFmtId="167" fontId="5" fillId="3" borderId="3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wrapText="1"/>
    </xf>
    <xf numFmtId="0" fontId="5" fillId="0" borderId="6" xfId="0" applyFont="1" applyBorder="1" applyAlignment="1">
      <alignment vertical="center"/>
    </xf>
    <xf numFmtId="173" fontId="3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7" fontId="1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7" fontId="6" fillId="7" borderId="74" xfId="0" applyNumberFormat="1" applyFont="1" applyFill="1" applyBorder="1" applyAlignment="1">
      <alignment horizontal="center"/>
    </xf>
    <xf numFmtId="167" fontId="17" fillId="4" borderId="74" xfId="0" applyNumberFormat="1" applyFont="1" applyFill="1" applyBorder="1" applyAlignment="1">
      <alignment horizontal="center" vertical="center" wrapText="1"/>
    </xf>
    <xf numFmtId="167" fontId="17" fillId="4" borderId="74" xfId="0" applyNumberFormat="1" applyFont="1" applyFill="1" applyBorder="1" applyAlignment="1">
      <alignment horizontal="center"/>
    </xf>
    <xf numFmtId="167" fontId="17" fillId="4" borderId="91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/>
    <xf numFmtId="167" fontId="6" fillId="40" borderId="28" xfId="0" applyNumberFormat="1" applyFont="1" applyFill="1" applyBorder="1" applyAlignment="1">
      <alignment horizontal="center" vertical="center" wrapText="1"/>
    </xf>
    <xf numFmtId="167" fontId="14" fillId="40" borderId="28" xfId="0" applyNumberFormat="1" applyFont="1" applyFill="1" applyBorder="1" applyAlignment="1">
      <alignment horizontal="center" vertical="center" wrapText="1"/>
    </xf>
    <xf numFmtId="167" fontId="14" fillId="4" borderId="28" xfId="0" applyNumberFormat="1" applyFont="1" applyFill="1" applyBorder="1" applyAlignment="1">
      <alignment horizontal="center" vertical="center" wrapText="1"/>
    </xf>
    <xf numFmtId="167" fontId="6" fillId="40" borderId="28" xfId="0" applyNumberFormat="1" applyFont="1" applyFill="1" applyBorder="1" applyAlignment="1">
      <alignment horizontal="center"/>
    </xf>
    <xf numFmtId="167" fontId="17" fillId="4" borderId="28" xfId="0" applyNumberFormat="1" applyFont="1" applyFill="1" applyBorder="1" applyAlignment="1">
      <alignment horizontal="center"/>
    </xf>
    <xf numFmtId="0" fontId="0" fillId="4" borderId="28" xfId="0" applyFill="1" applyBorder="1"/>
    <xf numFmtId="167" fontId="3" fillId="40" borderId="28" xfId="0" applyNumberFormat="1" applyFont="1" applyFill="1" applyBorder="1" applyAlignment="1">
      <alignment horizontal="center"/>
    </xf>
    <xf numFmtId="167" fontId="3" fillId="4" borderId="28" xfId="0" applyNumberFormat="1" applyFont="1" applyFill="1" applyBorder="1" applyAlignment="1">
      <alignment horizontal="center"/>
    </xf>
    <xf numFmtId="167" fontId="17" fillId="39" borderId="37" xfId="0" applyNumberFormat="1" applyFont="1" applyFill="1" applyBorder="1" applyAlignment="1">
      <alignment horizontal="center"/>
    </xf>
    <xf numFmtId="167" fontId="17" fillId="39" borderId="28" xfId="0" applyNumberFormat="1" applyFont="1" applyFill="1" applyBorder="1"/>
    <xf numFmtId="0" fontId="0" fillId="0" borderId="28" xfId="0" applyFill="1" applyBorder="1"/>
    <xf numFmtId="0" fontId="5" fillId="71" borderId="8" xfId="0" applyFont="1" applyFill="1" applyBorder="1" applyAlignment="1">
      <alignment horizontal="center" vertical="center" wrapText="1"/>
    </xf>
    <xf numFmtId="0" fontId="5" fillId="71" borderId="10" xfId="0" applyFont="1" applyFill="1" applyBorder="1" applyAlignment="1">
      <alignment horizontal="center" vertical="center" wrapText="1"/>
    </xf>
    <xf numFmtId="167" fontId="6" fillId="77" borderId="74" xfId="0" applyNumberFormat="1" applyFont="1" applyFill="1" applyBorder="1" applyAlignment="1">
      <alignment horizontal="center"/>
    </xf>
    <xf numFmtId="167" fontId="3" fillId="0" borderId="6" xfId="0" applyNumberFormat="1" applyFont="1" applyFill="1" applyBorder="1" applyAlignment="1">
      <alignment vertical="center"/>
    </xf>
    <xf numFmtId="167" fontId="3" fillId="0" borderId="29" xfId="0" applyNumberFormat="1" applyFont="1" applyFill="1" applyBorder="1" applyAlignment="1">
      <alignment vertical="center"/>
    </xf>
    <xf numFmtId="167" fontId="3" fillId="0" borderId="28" xfId="0" applyNumberFormat="1" applyFont="1" applyFill="1" applyBorder="1" applyAlignment="1">
      <alignment vertical="center"/>
    </xf>
    <xf numFmtId="167" fontId="20" fillId="0" borderId="6" xfId="0" applyNumberFormat="1" applyFont="1" applyFill="1" applyBorder="1" applyAlignment="1">
      <alignment vertical="center"/>
    </xf>
    <xf numFmtId="167" fontId="14" fillId="37" borderId="6" xfId="0" applyNumberFormat="1" applyFont="1" applyFill="1" applyBorder="1" applyAlignment="1">
      <alignment horizontal="center" vertical="center" wrapText="1"/>
    </xf>
    <xf numFmtId="0" fontId="14" fillId="40" borderId="28" xfId="0" applyFont="1" applyFill="1" applyBorder="1" applyAlignment="1">
      <alignment horizontal="center" vertical="center" wrapText="1"/>
    </xf>
    <xf numFmtId="4" fontId="6" fillId="40" borderId="6" xfId="0" applyNumberFormat="1" applyFont="1" applyFill="1" applyBorder="1" applyAlignment="1">
      <alignment horizontal="center"/>
    </xf>
    <xf numFmtId="2" fontId="6" fillId="40" borderId="22" xfId="0" applyNumberFormat="1" applyFont="1" applyFill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167" fontId="6" fillId="0" borderId="6" xfId="0" applyNumberFormat="1" applyFont="1" applyBorder="1" applyAlignment="1">
      <alignment horizontal="center"/>
    </xf>
    <xf numFmtId="0" fontId="6" fillId="40" borderId="6" xfId="0" applyFont="1" applyFill="1" applyBorder="1"/>
    <xf numFmtId="0" fontId="6" fillId="37" borderId="29" xfId="0" applyFont="1" applyFill="1" applyBorder="1"/>
    <xf numFmtId="0" fontId="14" fillId="10" borderId="22" xfId="0" applyFont="1" applyFill="1" applyBorder="1" applyAlignment="1">
      <alignment horizontal="center" vertical="center" wrapText="1"/>
    </xf>
    <xf numFmtId="2" fontId="27" fillId="41" borderId="13" xfId="0" applyNumberFormat="1" applyFont="1" applyFill="1" applyBorder="1" applyAlignment="1">
      <alignment horizontal="center" vertical="center" wrapText="1"/>
    </xf>
    <xf numFmtId="189" fontId="11" fillId="0" borderId="0" xfId="6" applyNumberFormat="1" applyFont="1"/>
    <xf numFmtId="167" fontId="8" fillId="0" borderId="0" xfId="6" applyNumberFormat="1" applyFont="1"/>
    <xf numFmtId="9" fontId="1" fillId="32" borderId="6" xfId="1" applyNumberFormat="1" applyFill="1" applyBorder="1"/>
    <xf numFmtId="0" fontId="2" fillId="35" borderId="26" xfId="0" applyFont="1" applyFill="1" applyBorder="1" applyAlignment="1">
      <alignment horizontal="center" vertical="center" wrapText="1"/>
    </xf>
    <xf numFmtId="167" fontId="17" fillId="25" borderId="29" xfId="0" applyNumberFormat="1" applyFont="1" applyFill="1" applyBorder="1" applyAlignment="1">
      <alignment horizontal="center" vertical="center" wrapText="1"/>
    </xf>
    <xf numFmtId="167" fontId="6" fillId="0" borderId="29" xfId="0" applyNumberFormat="1" applyFont="1" applyBorder="1"/>
    <xf numFmtId="0" fontId="14" fillId="10" borderId="29" xfId="0" applyFont="1" applyFill="1" applyBorder="1" applyAlignment="1">
      <alignment horizontal="center" vertical="center" wrapText="1"/>
    </xf>
    <xf numFmtId="0" fontId="0" fillId="4" borderId="29" xfId="0" applyFont="1" applyFill="1" applyBorder="1"/>
    <xf numFmtId="0" fontId="13" fillId="10" borderId="29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0" fillId="4" borderId="29" xfId="0" applyFill="1" applyBorder="1"/>
    <xf numFmtId="167" fontId="17" fillId="35" borderId="71" xfId="0" applyNumberFormat="1" applyFont="1" applyFill="1" applyBorder="1" applyAlignment="1">
      <alignment horizontal="center"/>
    </xf>
    <xf numFmtId="167" fontId="47" fillId="0" borderId="0" xfId="0" applyNumberFormat="1" applyFont="1" applyBorder="1"/>
    <xf numFmtId="167" fontId="6" fillId="0" borderId="21" xfId="0" applyNumberFormat="1" applyFont="1" applyBorder="1"/>
    <xf numFmtId="0" fontId="14" fillId="10" borderId="21" xfId="0" applyFont="1" applyFill="1" applyBorder="1" applyAlignment="1">
      <alignment horizontal="center" vertical="center" wrapText="1"/>
    </xf>
    <xf numFmtId="0" fontId="0" fillId="4" borderId="21" xfId="0" applyFont="1" applyFill="1" applyBorder="1"/>
    <xf numFmtId="0" fontId="0" fillId="4" borderId="21" xfId="0" applyFill="1" applyBorder="1"/>
    <xf numFmtId="167" fontId="17" fillId="25" borderId="23" xfId="0" applyNumberFormat="1" applyFont="1" applyFill="1" applyBorder="1" applyAlignment="1">
      <alignment horizontal="center" vertical="center" wrapText="1"/>
    </xf>
    <xf numFmtId="167" fontId="17" fillId="27" borderId="24" xfId="0" applyNumberFormat="1" applyFont="1" applyFill="1" applyBorder="1" applyAlignment="1">
      <alignment horizontal="center" vertical="center" wrapText="1"/>
    </xf>
    <xf numFmtId="167" fontId="17" fillId="27" borderId="7" xfId="0" applyNumberFormat="1" applyFont="1" applyFill="1" applyBorder="1" applyAlignment="1">
      <alignment horizontal="center" vertical="center" wrapText="1"/>
    </xf>
    <xf numFmtId="167" fontId="17" fillId="26" borderId="7" xfId="0" applyNumberFormat="1" applyFont="1" applyFill="1" applyBorder="1" applyAlignment="1">
      <alignment horizontal="center" vertical="center" wrapText="1"/>
    </xf>
    <xf numFmtId="0" fontId="17" fillId="26" borderId="7" xfId="0" applyFont="1" applyFill="1" applyBorder="1" applyAlignment="1">
      <alignment horizontal="center" vertical="center" wrapText="1"/>
    </xf>
    <xf numFmtId="167" fontId="17" fillId="26" borderId="25" xfId="0" applyNumberFormat="1" applyFont="1" applyFill="1" applyBorder="1" applyAlignment="1">
      <alignment horizontal="center" vertical="center" wrapText="1"/>
    </xf>
    <xf numFmtId="167" fontId="17" fillId="4" borderId="94" xfId="0" applyNumberFormat="1" applyFont="1" applyFill="1" applyBorder="1" applyAlignment="1">
      <alignment horizontal="center" vertical="center" wrapText="1"/>
    </xf>
    <xf numFmtId="0" fontId="13" fillId="35" borderId="92" xfId="0" applyFont="1" applyFill="1" applyBorder="1" applyAlignment="1">
      <alignment horizontal="center" vertical="center" wrapText="1"/>
    </xf>
    <xf numFmtId="0" fontId="5" fillId="39" borderId="47" xfId="0" applyFont="1" applyFill="1" applyBorder="1" applyAlignment="1">
      <alignment horizontal="center" vertical="center" wrapText="1"/>
    </xf>
    <xf numFmtId="167" fontId="6" fillId="39" borderId="74" xfId="0" applyNumberFormat="1" applyFont="1" applyFill="1" applyBorder="1" applyAlignment="1">
      <alignment horizontal="center"/>
    </xf>
    <xf numFmtId="0" fontId="0" fillId="4" borderId="74" xfId="0" applyFill="1" applyBorder="1"/>
    <xf numFmtId="167" fontId="17" fillId="39" borderId="29" xfId="0" applyNumberFormat="1" applyFont="1" applyFill="1" applyBorder="1"/>
    <xf numFmtId="0" fontId="0" fillId="0" borderId="29" xfId="0" applyBorder="1"/>
    <xf numFmtId="167" fontId="3" fillId="0" borderId="78" xfId="0" applyNumberFormat="1" applyFont="1" applyBorder="1"/>
    <xf numFmtId="167" fontId="3" fillId="0" borderId="24" xfId="0" applyNumberFormat="1" applyFont="1" applyBorder="1"/>
    <xf numFmtId="167" fontId="6" fillId="0" borderId="28" xfId="0" applyNumberFormat="1" applyFont="1" applyBorder="1"/>
    <xf numFmtId="167" fontId="3" fillId="0" borderId="28" xfId="0" applyNumberFormat="1" applyFont="1" applyBorder="1" applyAlignment="1">
      <alignment vertical="center"/>
    </xf>
    <xf numFmtId="2" fontId="0" fillId="3" borderId="10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0" fontId="0" fillId="3" borderId="10" xfId="0" applyFill="1" applyBorder="1"/>
    <xf numFmtId="167" fontId="3" fillId="3" borderId="9" xfId="0" applyNumberFormat="1" applyFont="1" applyFill="1" applyBorder="1" applyAlignment="1">
      <alignment vertical="center"/>
    </xf>
    <xf numFmtId="0" fontId="5" fillId="70" borderId="10" xfId="0" applyFont="1" applyFill="1" applyBorder="1" applyAlignment="1">
      <alignment horizontal="center" vertical="center" wrapText="1"/>
    </xf>
    <xf numFmtId="167" fontId="17" fillId="72" borderId="10" xfId="0" applyNumberFormat="1" applyFont="1" applyFill="1" applyBorder="1" applyAlignment="1">
      <alignment horizontal="center" vertical="center" wrapText="1"/>
    </xf>
    <xf numFmtId="167" fontId="6" fillId="70" borderId="10" xfId="0" applyNumberFormat="1" applyFont="1" applyFill="1" applyBorder="1" applyAlignment="1">
      <alignment horizontal="center"/>
    </xf>
    <xf numFmtId="167" fontId="17" fillId="72" borderId="10" xfId="0" applyNumberFormat="1" applyFont="1" applyFill="1" applyBorder="1" applyAlignment="1">
      <alignment horizontal="center"/>
    </xf>
    <xf numFmtId="167" fontId="7" fillId="70" borderId="10" xfId="0" applyNumberFormat="1" applyFont="1" applyFill="1" applyBorder="1" applyAlignment="1">
      <alignment horizontal="center"/>
    </xf>
    <xf numFmtId="167" fontId="17" fillId="70" borderId="10" xfId="0" applyNumberFormat="1" applyFont="1" applyFill="1" applyBorder="1" applyAlignment="1">
      <alignment horizontal="center"/>
    </xf>
    <xf numFmtId="0" fontId="6" fillId="67" borderId="10" xfId="0" applyFont="1" applyFill="1" applyBorder="1"/>
    <xf numFmtId="167" fontId="17" fillId="70" borderId="10" xfId="0" applyNumberFormat="1" applyFont="1" applyFill="1" applyBorder="1"/>
    <xf numFmtId="174" fontId="3" fillId="67" borderId="9" xfId="0" applyNumberFormat="1" applyFont="1" applyFill="1" applyBorder="1" applyAlignment="1">
      <alignment vertical="center"/>
    </xf>
    <xf numFmtId="167" fontId="6" fillId="69" borderId="74" xfId="0" applyNumberFormat="1" applyFont="1" applyFill="1" applyBorder="1" applyAlignment="1">
      <alignment horizontal="center"/>
    </xf>
    <xf numFmtId="0" fontId="48" fillId="0" borderId="63" xfId="0" applyFont="1" applyBorder="1"/>
    <xf numFmtId="10" fontId="26" fillId="0" borderId="52" xfId="0" applyNumberFormat="1" applyFont="1" applyBorder="1"/>
    <xf numFmtId="9" fontId="32" fillId="0" borderId="29" xfId="1" applyFont="1" applyBorder="1"/>
    <xf numFmtId="167" fontId="17" fillId="26" borderId="24" xfId="0" applyNumberFormat="1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167" fontId="6" fillId="6" borderId="28" xfId="0" applyNumberFormat="1" applyFont="1" applyFill="1" applyBorder="1" applyAlignment="1">
      <alignment horizontal="center" vertical="center" wrapText="1"/>
    </xf>
    <xf numFmtId="0" fontId="6" fillId="37" borderId="28" xfId="0" applyFont="1" applyFill="1" applyBorder="1"/>
    <xf numFmtId="167" fontId="17" fillId="4" borderId="28" xfId="0" applyNumberFormat="1" applyFont="1" applyFill="1" applyBorder="1" applyAlignment="1">
      <alignment horizontal="center" vertical="center" wrapText="1"/>
    </xf>
    <xf numFmtId="167" fontId="20" fillId="37" borderId="28" xfId="0" applyNumberFormat="1" applyFont="1" applyFill="1" applyBorder="1" applyAlignment="1">
      <alignment horizontal="center"/>
    </xf>
    <xf numFmtId="167" fontId="6" fillId="37" borderId="28" xfId="0" applyNumberFormat="1" applyFont="1" applyFill="1" applyBorder="1" applyAlignment="1">
      <alignment horizontal="center"/>
    </xf>
    <xf numFmtId="167" fontId="6" fillId="0" borderId="28" xfId="0" applyNumberFormat="1" applyFont="1" applyFill="1" applyBorder="1" applyAlignment="1">
      <alignment horizontal="center"/>
    </xf>
    <xf numFmtId="167" fontId="15" fillId="37" borderId="28" xfId="0" applyNumberFormat="1" applyFont="1" applyFill="1" applyBorder="1" applyAlignment="1">
      <alignment horizontal="center"/>
    </xf>
    <xf numFmtId="0" fontId="5" fillId="3" borderId="10" xfId="0" applyFont="1" applyFill="1" applyBorder="1"/>
    <xf numFmtId="0" fontId="0" fillId="3" borderId="9" xfId="0" applyFill="1" applyBorder="1" applyAlignment="1">
      <alignment vertical="center"/>
    </xf>
    <xf numFmtId="170" fontId="17" fillId="78" borderId="13" xfId="0" applyNumberFormat="1" applyFont="1" applyFill="1" applyBorder="1" applyAlignment="1">
      <alignment horizontal="center"/>
    </xf>
    <xf numFmtId="170" fontId="17" fillId="78" borderId="17" xfId="0" applyNumberFormat="1" applyFont="1" applyFill="1" applyBorder="1" applyAlignment="1">
      <alignment horizontal="center"/>
    </xf>
    <xf numFmtId="170" fontId="6" fillId="79" borderId="17" xfId="0" applyNumberFormat="1" applyFont="1" applyFill="1" applyBorder="1" applyAlignment="1">
      <alignment horizontal="center"/>
    </xf>
    <xf numFmtId="167" fontId="17" fillId="79" borderId="58" xfId="0" applyNumberFormat="1" applyFont="1" applyFill="1" applyBorder="1" applyAlignment="1">
      <alignment horizontal="center"/>
    </xf>
    <xf numFmtId="167" fontId="17" fillId="79" borderId="28" xfId="0" applyNumberFormat="1" applyFont="1" applyFill="1" applyBorder="1" applyAlignment="1">
      <alignment horizontal="center"/>
    </xf>
    <xf numFmtId="0" fontId="2" fillId="21" borderId="35" xfId="0" applyFont="1" applyFill="1" applyBorder="1" applyAlignment="1">
      <alignment horizontal="center" vertical="center" wrapText="1"/>
    </xf>
    <xf numFmtId="0" fontId="2" fillId="21" borderId="38" xfId="0" applyFont="1" applyFill="1" applyBorder="1" applyAlignment="1">
      <alignment horizontal="center" vertical="center" wrapText="1"/>
    </xf>
    <xf numFmtId="0" fontId="5" fillId="21" borderId="47" xfId="0" applyFont="1" applyFill="1" applyBorder="1" applyAlignment="1">
      <alignment horizontal="center" vertical="center" wrapText="1"/>
    </xf>
    <xf numFmtId="167" fontId="6" fillId="21" borderId="74" xfId="0" applyNumberFormat="1" applyFont="1" applyFill="1" applyBorder="1" applyAlignment="1">
      <alignment horizontal="center"/>
    </xf>
    <xf numFmtId="167" fontId="17" fillId="21" borderId="47" xfId="0" applyNumberFormat="1" applyFont="1" applyFill="1" applyBorder="1" applyAlignment="1">
      <alignment horizontal="center"/>
    </xf>
    <xf numFmtId="167" fontId="17" fillId="21" borderId="37" xfId="0" applyNumberFormat="1" applyFont="1" applyFill="1" applyBorder="1" applyAlignment="1">
      <alignment horizontal="center"/>
    </xf>
    <xf numFmtId="167" fontId="17" fillId="21" borderId="35" xfId="0" applyNumberFormat="1" applyFont="1" applyFill="1" applyBorder="1" applyAlignment="1">
      <alignment horizontal="center"/>
    </xf>
    <xf numFmtId="167" fontId="17" fillId="21" borderId="28" xfId="0" applyNumberFormat="1" applyFont="1" applyFill="1" applyBorder="1"/>
    <xf numFmtId="167" fontId="17" fillId="21" borderId="6" xfId="0" applyNumberFormat="1" applyFont="1" applyFill="1" applyBorder="1"/>
    <xf numFmtId="167" fontId="17" fillId="21" borderId="29" xfId="0" applyNumberFormat="1" applyFont="1" applyFill="1" applyBorder="1"/>
    <xf numFmtId="0" fontId="5" fillId="83" borderId="61" xfId="0" applyFont="1" applyFill="1" applyBorder="1" applyAlignment="1">
      <alignment horizontal="center" vertical="center" wrapText="1"/>
    </xf>
    <xf numFmtId="167" fontId="17" fillId="83" borderId="34" xfId="0" applyNumberFormat="1" applyFont="1" applyFill="1" applyBorder="1" applyAlignment="1">
      <alignment horizontal="center"/>
    </xf>
    <xf numFmtId="167" fontId="17" fillId="83" borderId="36" xfId="0" applyNumberFormat="1" applyFont="1" applyFill="1" applyBorder="1" applyAlignment="1">
      <alignment horizontal="center"/>
    </xf>
    <xf numFmtId="167" fontId="17" fillId="83" borderId="61" xfId="0" applyNumberFormat="1" applyFont="1" applyFill="1" applyBorder="1" applyAlignment="1">
      <alignment horizontal="center"/>
    </xf>
    <xf numFmtId="167" fontId="17" fillId="83" borderId="47" xfId="0" applyNumberFormat="1" applyFont="1" applyFill="1" applyBorder="1" applyAlignment="1">
      <alignment horizontal="center"/>
    </xf>
    <xf numFmtId="167" fontId="17" fillId="83" borderId="6" xfId="0" applyNumberFormat="1" applyFont="1" applyFill="1" applyBorder="1"/>
    <xf numFmtId="167" fontId="17" fillId="83" borderId="29" xfId="0" applyNumberFormat="1" applyFont="1" applyFill="1" applyBorder="1" applyAlignment="1">
      <alignment horizontal="center"/>
    </xf>
    <xf numFmtId="0" fontId="5" fillId="82" borderId="49" xfId="0" applyFont="1" applyFill="1" applyBorder="1"/>
    <xf numFmtId="0" fontId="5" fillId="82" borderId="6" xfId="0" applyFont="1" applyFill="1" applyBorder="1"/>
    <xf numFmtId="0" fontId="5" fillId="83" borderId="34" xfId="0" applyFont="1" applyFill="1" applyBorder="1" applyAlignment="1">
      <alignment horizontal="center" vertical="center" wrapText="1"/>
    </xf>
    <xf numFmtId="0" fontId="5" fillId="83" borderId="36" xfId="0" applyFont="1" applyFill="1" applyBorder="1" applyAlignment="1">
      <alignment horizontal="center" vertical="center" wrapText="1"/>
    </xf>
    <xf numFmtId="0" fontId="5" fillId="21" borderId="37" xfId="0" applyFont="1" applyFill="1" applyBorder="1" applyAlignment="1">
      <alignment horizontal="center" vertical="center" wrapText="1"/>
    </xf>
    <xf numFmtId="0" fontId="5" fillId="21" borderId="35" xfId="0" applyFont="1" applyFill="1" applyBorder="1" applyAlignment="1">
      <alignment horizontal="center" vertical="center" wrapText="1"/>
    </xf>
    <xf numFmtId="0" fontId="5" fillId="39" borderId="37" xfId="0" applyFont="1" applyFill="1" applyBorder="1" applyAlignment="1">
      <alignment horizontal="center" vertical="center" wrapText="1"/>
    </xf>
    <xf numFmtId="0" fontId="5" fillId="39" borderId="35" xfId="0" applyFont="1" applyFill="1" applyBorder="1" applyAlignment="1">
      <alignment horizontal="center" vertical="center" wrapText="1"/>
    </xf>
    <xf numFmtId="0" fontId="5" fillId="39" borderId="36" xfId="0" applyFont="1" applyFill="1" applyBorder="1" applyAlignment="1">
      <alignment horizontal="center" vertical="center" wrapText="1"/>
    </xf>
    <xf numFmtId="0" fontId="11" fillId="0" borderId="0" xfId="0" applyFont="1"/>
    <xf numFmtId="44" fontId="11" fillId="0" borderId="0" xfId="6" applyFont="1"/>
    <xf numFmtId="9" fontId="11" fillId="0" borderId="0" xfId="1" applyFont="1"/>
    <xf numFmtId="10" fontId="6" fillId="0" borderId="0" xfId="1" applyNumberFormat="1" applyFont="1"/>
    <xf numFmtId="167" fontId="16" fillId="25" borderId="28" xfId="0" applyNumberFormat="1" applyFont="1" applyFill="1" applyBorder="1" applyAlignment="1">
      <alignment horizontal="center" vertical="center" wrapText="1"/>
    </xf>
    <xf numFmtId="167" fontId="20" fillId="0" borderId="28" xfId="0" applyNumberFormat="1" applyFont="1" applyBorder="1"/>
    <xf numFmtId="0" fontId="13" fillId="10" borderId="28" xfId="0" applyFont="1" applyFill="1" applyBorder="1" applyAlignment="1">
      <alignment horizontal="center" vertical="center" wrapText="1"/>
    </xf>
    <xf numFmtId="0" fontId="20" fillId="4" borderId="28" xfId="0" applyFont="1" applyFill="1" applyBorder="1"/>
    <xf numFmtId="167" fontId="16" fillId="4" borderId="28" xfId="0" applyNumberFormat="1" applyFont="1" applyFill="1" applyBorder="1"/>
    <xf numFmtId="167" fontId="7" fillId="0" borderId="28" xfId="0" applyNumberFormat="1" applyFont="1" applyBorder="1"/>
    <xf numFmtId="0" fontId="40" fillId="10" borderId="28" xfId="0" applyFont="1" applyFill="1" applyBorder="1" applyAlignment="1">
      <alignment horizontal="center" vertical="center" wrapText="1"/>
    </xf>
    <xf numFmtId="167" fontId="14" fillId="35" borderId="39" xfId="0" applyNumberFormat="1" applyFont="1" applyFill="1" applyBorder="1" applyAlignment="1">
      <alignment horizontal="center"/>
    </xf>
    <xf numFmtId="0" fontId="5" fillId="83" borderId="35" xfId="0" applyFont="1" applyFill="1" applyBorder="1" applyAlignment="1">
      <alignment horizontal="center" vertical="center" wrapText="1"/>
    </xf>
    <xf numFmtId="167" fontId="17" fillId="25" borderId="7" xfId="0" applyNumberFormat="1" applyFont="1" applyFill="1" applyBorder="1" applyAlignment="1">
      <alignment horizontal="center" vertical="center" wrapText="1"/>
    </xf>
    <xf numFmtId="167" fontId="6" fillId="0" borderId="6" xfId="0" applyNumberFormat="1" applyFont="1" applyBorder="1"/>
    <xf numFmtId="0" fontId="14" fillId="10" borderId="6" xfId="0" applyFont="1" applyFill="1" applyBorder="1" applyAlignment="1">
      <alignment horizontal="center" vertical="center" wrapText="1"/>
    </xf>
    <xf numFmtId="0" fontId="0" fillId="4" borderId="6" xfId="0" applyFont="1" applyFill="1" applyBorder="1"/>
    <xf numFmtId="167" fontId="17" fillId="83" borderId="35" xfId="0" applyNumberFormat="1" applyFont="1" applyFill="1" applyBorder="1" applyAlignment="1">
      <alignment horizontal="center"/>
    </xf>
    <xf numFmtId="0" fontId="27" fillId="31" borderId="51" xfId="0" applyFont="1" applyFill="1" applyBorder="1" applyAlignment="1">
      <alignment vertical="center" wrapText="1" shrinkToFit="1"/>
    </xf>
    <xf numFmtId="0" fontId="27" fillId="31" borderId="32" xfId="0" applyFont="1" applyFill="1" applyBorder="1" applyAlignment="1">
      <alignment vertical="center" wrapText="1" shrinkToFit="1"/>
    </xf>
    <xf numFmtId="0" fontId="27" fillId="31" borderId="52" xfId="0" applyFont="1" applyFill="1" applyBorder="1" applyAlignment="1">
      <alignment vertical="center" wrapText="1" shrinkToFit="1"/>
    </xf>
    <xf numFmtId="0" fontId="27" fillId="31" borderId="24" xfId="0" applyFont="1" applyFill="1" applyBorder="1" applyAlignment="1">
      <alignment vertical="center" wrapText="1" shrinkToFit="1"/>
    </xf>
    <xf numFmtId="9" fontId="0" fillId="31" borderId="6" xfId="1" applyFont="1" applyFill="1" applyBorder="1" applyAlignment="1">
      <alignment horizontal="center"/>
    </xf>
    <xf numFmtId="4" fontId="6" fillId="69" borderId="74" xfId="0" applyNumberFormat="1" applyFont="1" applyFill="1" applyBorder="1" applyAlignment="1">
      <alignment horizontal="center"/>
    </xf>
    <xf numFmtId="9" fontId="11" fillId="0" borderId="0" xfId="0" applyNumberFormat="1" applyFont="1"/>
    <xf numFmtId="9" fontId="0" fillId="0" borderId="0" xfId="0" applyNumberFormat="1" applyFill="1"/>
    <xf numFmtId="0" fontId="60" fillId="15" borderId="34" xfId="0" applyFont="1" applyFill="1" applyBorder="1" applyAlignment="1">
      <alignment horizontal="center" wrapText="1"/>
    </xf>
    <xf numFmtId="0" fontId="60" fillId="15" borderId="35" xfId="0" applyFont="1" applyFill="1" applyBorder="1" applyAlignment="1">
      <alignment horizontal="center" wrapText="1"/>
    </xf>
    <xf numFmtId="0" fontId="60" fillId="15" borderId="38" xfId="0" applyFont="1" applyFill="1" applyBorder="1" applyAlignment="1">
      <alignment horizontal="center" wrapText="1"/>
    </xf>
    <xf numFmtId="0" fontId="0" fillId="15" borderId="49" xfId="0" applyFont="1" applyFill="1" applyBorder="1" applyAlignment="1">
      <alignment horizontal="center" wrapText="1"/>
    </xf>
    <xf numFmtId="0" fontId="0" fillId="0" borderId="97" xfId="0" applyFont="1" applyBorder="1"/>
    <xf numFmtId="0" fontId="61" fillId="0" borderId="23" xfId="0" applyFont="1" applyBorder="1" applyAlignment="1">
      <alignment horizontal="center"/>
    </xf>
    <xf numFmtId="0" fontId="61" fillId="0" borderId="7" xfId="0" applyFont="1" applyBorder="1" applyAlignment="1">
      <alignment horizontal="center"/>
    </xf>
    <xf numFmtId="0" fontId="61" fillId="0" borderId="25" xfId="0" applyFont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61" fillId="0" borderId="6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165" fontId="0" fillId="84" borderId="17" xfId="0" applyNumberFormat="1" applyFill="1" applyBorder="1" applyAlignment="1">
      <alignment horizontal="center"/>
    </xf>
    <xf numFmtId="0" fontId="60" fillId="0" borderId="67" xfId="0" applyFont="1" applyBorder="1" applyAlignment="1">
      <alignment horizontal="center"/>
    </xf>
    <xf numFmtId="0" fontId="60" fillId="0" borderId="30" xfId="0" applyFont="1" applyBorder="1" applyAlignment="1">
      <alignment horizontal="center"/>
    </xf>
    <xf numFmtId="0" fontId="60" fillId="0" borderId="33" xfId="0" applyFont="1" applyBorder="1" applyAlignment="1">
      <alignment horizontal="center"/>
    </xf>
    <xf numFmtId="165" fontId="0" fillId="84" borderId="59" xfId="0" applyNumberFormat="1" applyFill="1" applyBorder="1" applyAlignment="1">
      <alignment horizontal="center"/>
    </xf>
    <xf numFmtId="0" fontId="61" fillId="15" borderId="34" xfId="0" applyFont="1" applyFill="1" applyBorder="1" applyAlignment="1">
      <alignment horizontal="center"/>
    </xf>
    <xf numFmtId="0" fontId="61" fillId="15" borderId="35" xfId="0" applyFont="1" applyFill="1" applyBorder="1" applyAlignment="1">
      <alignment horizontal="center"/>
    </xf>
    <xf numFmtId="165" fontId="0" fillId="15" borderId="58" xfId="0" applyNumberFormat="1" applyFill="1" applyBorder="1" applyAlignment="1">
      <alignment horizontal="center"/>
    </xf>
    <xf numFmtId="0" fontId="0" fillId="0" borderId="49" xfId="0" applyBorder="1"/>
    <xf numFmtId="0" fontId="0" fillId="0" borderId="49" xfId="0" applyBorder="1" applyAlignment="1"/>
    <xf numFmtId="0" fontId="61" fillId="15" borderId="58" xfId="0" applyFont="1" applyFill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0" fillId="0" borderId="31" xfId="0" applyFont="1" applyBorder="1" applyAlignment="1">
      <alignment horizontal="center"/>
    </xf>
    <xf numFmtId="0" fontId="60" fillId="0" borderId="20" xfId="0" applyFont="1" applyBorder="1" applyAlignment="1">
      <alignment horizontal="center"/>
    </xf>
    <xf numFmtId="0" fontId="60" fillId="15" borderId="36" xfId="0" applyFont="1" applyFill="1" applyBorder="1" applyAlignment="1">
      <alignment horizontal="center" wrapText="1"/>
    </xf>
    <xf numFmtId="168" fontId="0" fillId="0" borderId="0" xfId="0" applyNumberFormat="1"/>
    <xf numFmtId="191" fontId="1" fillId="0" borderId="0" xfId="1" applyNumberFormat="1"/>
    <xf numFmtId="2" fontId="0" fillId="15" borderId="6" xfId="0" applyNumberFormat="1" applyFill="1" applyBorder="1"/>
    <xf numFmtId="2" fontId="33" fillId="15" borderId="6" xfId="0" applyNumberFormat="1" applyFont="1" applyFill="1" applyBorder="1"/>
    <xf numFmtId="2" fontId="34" fillId="15" borderId="6" xfId="0" applyNumberFormat="1" applyFont="1" applyFill="1" applyBorder="1"/>
    <xf numFmtId="2" fontId="36" fillId="15" borderId="6" xfId="0" applyNumberFormat="1" applyFont="1" applyFill="1" applyBorder="1"/>
    <xf numFmtId="2" fontId="28" fillId="15" borderId="6" xfId="0" applyNumberFormat="1" applyFont="1" applyFill="1" applyBorder="1"/>
    <xf numFmtId="9" fontId="1" fillId="15" borderId="6" xfId="1" applyFill="1" applyBorder="1"/>
    <xf numFmtId="9" fontId="34" fillId="15" borderId="6" xfId="1" applyFont="1" applyFill="1" applyBorder="1"/>
    <xf numFmtId="2" fontId="27" fillId="16" borderId="6" xfId="0" applyNumberFormat="1" applyFont="1" applyFill="1" applyBorder="1"/>
    <xf numFmtId="2" fontId="35" fillId="16" borderId="6" xfId="0" applyNumberFormat="1" applyFont="1" applyFill="1" applyBorder="1"/>
    <xf numFmtId="2" fontId="1" fillId="16" borderId="6" xfId="1" applyNumberFormat="1" applyFill="1" applyBorder="1"/>
    <xf numFmtId="0" fontId="27" fillId="16" borderId="6" xfId="0" applyFont="1" applyFill="1" applyBorder="1"/>
    <xf numFmtId="0" fontId="27" fillId="16" borderId="6" xfId="0" applyFont="1" applyFill="1" applyBorder="1" applyAlignment="1">
      <alignment horizontal="center" vertical="center"/>
    </xf>
    <xf numFmtId="2" fontId="0" fillId="16" borderId="6" xfId="0" applyNumberFormat="1" applyFill="1" applyBorder="1"/>
    <xf numFmtId="2" fontId="0" fillId="16" borderId="6" xfId="0" applyNumberFormat="1" applyFill="1" applyBorder="1" applyAlignment="1">
      <alignment horizontal="center" vertical="center"/>
    </xf>
    <xf numFmtId="9" fontId="1" fillId="16" borderId="6" xfId="1" applyFill="1" applyBorder="1"/>
    <xf numFmtId="2" fontId="0" fillId="16" borderId="6" xfId="0" applyNumberFormat="1" applyFont="1" applyFill="1" applyBorder="1"/>
    <xf numFmtId="2" fontId="0" fillId="16" borderId="6" xfId="0" applyNumberFormat="1" applyFont="1" applyFill="1" applyBorder="1" applyAlignment="1">
      <alignment horizontal="center" vertical="center"/>
    </xf>
    <xf numFmtId="2" fontId="0" fillId="59" borderId="6" xfId="0" applyNumberFormat="1" applyFill="1" applyBorder="1"/>
    <xf numFmtId="9" fontId="1" fillId="59" borderId="6" xfId="1" applyFill="1" applyBorder="1"/>
    <xf numFmtId="2" fontId="0" fillId="60" borderId="6" xfId="0" applyNumberFormat="1" applyFill="1" applyBorder="1"/>
    <xf numFmtId="2" fontId="33" fillId="60" borderId="6" xfId="0" applyNumberFormat="1" applyFont="1" applyFill="1" applyBorder="1"/>
    <xf numFmtId="9" fontId="1" fillId="60" borderId="6" xfId="1" applyFill="1" applyBorder="1"/>
    <xf numFmtId="2" fontId="33" fillId="80" borderId="6" xfId="0" applyNumberFormat="1" applyFont="1" applyFill="1" applyBorder="1"/>
    <xf numFmtId="2" fontId="33" fillId="80" borderId="6" xfId="0" applyNumberFormat="1" applyFont="1" applyFill="1" applyBorder="1" applyAlignment="1">
      <alignment wrapText="1"/>
    </xf>
    <xf numFmtId="2" fontId="0" fillId="80" borderId="6" xfId="0" applyNumberFormat="1" applyFill="1" applyBorder="1"/>
    <xf numFmtId="9" fontId="1" fillId="80" borderId="6" xfId="1" applyNumberFormat="1" applyFill="1" applyBorder="1"/>
    <xf numFmtId="9" fontId="1" fillId="80" borderId="6" xfId="1" applyFill="1" applyBorder="1"/>
    <xf numFmtId="2" fontId="27" fillId="16" borderId="6" xfId="0" applyNumberFormat="1" applyFont="1" applyFill="1" applyBorder="1" applyAlignment="1">
      <alignment horizontal="center"/>
    </xf>
    <xf numFmtId="0" fontId="27" fillId="16" borderId="6" xfId="0" applyFont="1" applyFill="1" applyBorder="1" applyAlignment="1">
      <alignment horizontal="center"/>
    </xf>
    <xf numFmtId="2" fontId="0" fillId="85" borderId="6" xfId="0" applyNumberFormat="1" applyFill="1" applyBorder="1" applyAlignment="1">
      <alignment horizontal="center"/>
    </xf>
    <xf numFmtId="9" fontId="1" fillId="85" borderId="6" xfId="1" applyFill="1" applyBorder="1" applyAlignment="1">
      <alignment horizontal="center"/>
    </xf>
    <xf numFmtId="2" fontId="0" fillId="15" borderId="6" xfId="0" applyNumberFormat="1" applyFill="1" applyBorder="1" applyAlignment="1">
      <alignment horizontal="center"/>
    </xf>
    <xf numFmtId="191" fontId="1" fillId="15" borderId="6" xfId="1" applyNumberFormat="1" applyFill="1" applyBorder="1" applyAlignment="1">
      <alignment horizontal="center"/>
    </xf>
    <xf numFmtId="191" fontId="27" fillId="8" borderId="6" xfId="0" applyNumberFormat="1" applyFont="1" applyFill="1" applyBorder="1" applyAlignment="1">
      <alignment horizontal="center"/>
    </xf>
    <xf numFmtId="191" fontId="27" fillId="8" borderId="6" xfId="0" applyNumberFormat="1" applyFont="1" applyFill="1" applyBorder="1"/>
    <xf numFmtId="191" fontId="1" fillId="8" borderId="6" xfId="1" applyNumberFormat="1" applyFill="1" applyBorder="1" applyAlignment="1">
      <alignment horizontal="center"/>
    </xf>
    <xf numFmtId="0" fontId="1" fillId="0" borderId="98" xfId="2" applyBorder="1"/>
    <xf numFmtId="0" fontId="63" fillId="0" borderId="0" xfId="0" applyFont="1" applyFill="1" applyAlignment="1">
      <alignment horizontal="center" vertical="center"/>
    </xf>
    <xf numFmtId="0" fontId="0" fillId="0" borderId="0" xfId="0" applyAlignment="1"/>
    <xf numFmtId="0" fontId="64" fillId="0" borderId="0" xfId="0" applyFont="1" applyFill="1" applyAlignment="1">
      <alignment horizontal="center" vertical="center"/>
    </xf>
    <xf numFmtId="0" fontId="65" fillId="0" borderId="89" xfId="0" applyFont="1" applyBorder="1" applyAlignment="1">
      <alignment horizontal="center" vertical="center" wrapText="1"/>
    </xf>
    <xf numFmtId="192" fontId="65" fillId="0" borderId="13" xfId="3" applyNumberFormat="1" applyFont="1" applyBorder="1" applyAlignment="1">
      <alignment horizontal="right" vertical="center" wrapText="1"/>
    </xf>
    <xf numFmtId="0" fontId="65" fillId="0" borderId="99" xfId="0" applyFont="1" applyBorder="1" applyAlignment="1">
      <alignment horizontal="center" vertical="center" wrapText="1"/>
    </xf>
    <xf numFmtId="193" fontId="65" fillId="0" borderId="13" xfId="3" applyNumberFormat="1" applyFont="1" applyBorder="1" applyAlignment="1">
      <alignment horizontal="right" vertical="center" wrapText="1"/>
    </xf>
    <xf numFmtId="0" fontId="66" fillId="0" borderId="0" xfId="0" applyFont="1"/>
    <xf numFmtId="194" fontId="68" fillId="0" borderId="10" xfId="3" applyNumberFormat="1" applyFont="1" applyBorder="1" applyAlignment="1">
      <alignment horizontal="right" wrapText="1"/>
    </xf>
    <xf numFmtId="195" fontId="68" fillId="0" borderId="10" xfId="3" applyNumberFormat="1" applyFont="1" applyBorder="1" applyAlignment="1">
      <alignment horizontal="right" wrapText="1"/>
    </xf>
    <xf numFmtId="0" fontId="0" fillId="0" borderId="10" xfId="0" applyBorder="1"/>
    <xf numFmtId="0" fontId="69" fillId="0" borderId="0" xfId="0" applyFont="1" applyBorder="1" applyAlignment="1">
      <alignment wrapText="1"/>
    </xf>
    <xf numFmtId="0" fontId="68" fillId="0" borderId="0" xfId="0" applyFont="1" applyBorder="1" applyAlignment="1">
      <alignment wrapText="1"/>
    </xf>
    <xf numFmtId="0" fontId="68" fillId="0" borderId="0" xfId="0" applyFont="1" applyBorder="1"/>
    <xf numFmtId="0" fontId="68" fillId="0" borderId="0" xfId="0" applyFont="1" applyFill="1" applyBorder="1"/>
    <xf numFmtId="0" fontId="0" fillId="0" borderId="0" xfId="0" applyAlignment="1">
      <alignment horizontal="right"/>
    </xf>
    <xf numFmtId="195" fontId="68" fillId="0" borderId="10" xfId="0" applyNumberFormat="1" applyFont="1" applyBorder="1" applyAlignment="1">
      <alignment horizontal="right"/>
    </xf>
    <xf numFmtId="0" fontId="67" fillId="0" borderId="0" xfId="0" applyFont="1" applyBorder="1" applyAlignment="1">
      <alignment wrapText="1"/>
    </xf>
    <xf numFmtId="0" fontId="67" fillId="0" borderId="0" xfId="0" applyFont="1" applyBorder="1"/>
    <xf numFmtId="0" fontId="67" fillId="0" borderId="9" xfId="0" applyFont="1" applyBorder="1" applyAlignment="1">
      <alignment wrapText="1"/>
    </xf>
    <xf numFmtId="194" fontId="0" fillId="0" borderId="0" xfId="0" applyNumberFormat="1" applyAlignment="1">
      <alignment horizontal="right"/>
    </xf>
    <xf numFmtId="195" fontId="0" fillId="0" borderId="0" xfId="0" applyNumberFormat="1"/>
    <xf numFmtId="0" fontId="64" fillId="0" borderId="0" xfId="0" applyFont="1" applyFill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44" fontId="70" fillId="0" borderId="8" xfId="6" applyFont="1" applyBorder="1" applyAlignment="1">
      <alignment wrapText="1"/>
    </xf>
    <xf numFmtId="44" fontId="70" fillId="0" borderId="10" xfId="6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195" fontId="1" fillId="0" borderId="10" xfId="3" applyNumberFormat="1" applyFont="1" applyBorder="1" applyAlignment="1">
      <alignment horizontal="right" wrapText="1"/>
    </xf>
    <xf numFmtId="194" fontId="27" fillId="0" borderId="49" xfId="3" applyNumberFormat="1" applyFont="1" applyBorder="1" applyAlignment="1">
      <alignment horizontal="right" wrapText="1"/>
    </xf>
    <xf numFmtId="194" fontId="27" fillId="0" borderId="47" xfId="3" applyNumberFormat="1" applyFont="1" applyBorder="1" applyAlignment="1">
      <alignment horizontal="right" wrapText="1"/>
    </xf>
    <xf numFmtId="0" fontId="27" fillId="0" borderId="47" xfId="0" applyFont="1" applyBorder="1"/>
    <xf numFmtId="192" fontId="65" fillId="0" borderId="13" xfId="3" applyNumberFormat="1" applyFont="1" applyBorder="1" applyAlignment="1">
      <alignment horizontal="center" vertical="center" wrapText="1"/>
    </xf>
    <xf numFmtId="193" fontId="65" fillId="0" borderId="13" xfId="3" applyNumberFormat="1" applyFont="1" applyBorder="1" applyAlignment="1">
      <alignment horizontal="center" vertical="center" wrapText="1"/>
    </xf>
    <xf numFmtId="0" fontId="6" fillId="45" borderId="6" xfId="0" applyFont="1" applyFill="1" applyBorder="1"/>
    <xf numFmtId="167" fontId="6" fillId="11" borderId="21" xfId="0" applyNumberFormat="1" applyFont="1" applyFill="1" applyBorder="1"/>
    <xf numFmtId="167" fontId="6" fillId="11" borderId="6" xfId="0" applyNumberFormat="1" applyFont="1" applyFill="1" applyBorder="1"/>
    <xf numFmtId="167" fontId="6" fillId="11" borderId="22" xfId="0" applyNumberFormat="1" applyFont="1" applyFill="1" applyBorder="1"/>
    <xf numFmtId="167" fontId="6" fillId="35" borderId="74" xfId="0" applyNumberFormat="1" applyFont="1" applyFill="1" applyBorder="1" applyAlignment="1">
      <alignment horizontal="center"/>
    </xf>
    <xf numFmtId="0" fontId="0" fillId="35" borderId="74" xfId="0" applyFill="1" applyBorder="1"/>
    <xf numFmtId="4" fontId="6" fillId="35" borderId="74" xfId="0" applyNumberFormat="1" applyFont="1" applyFill="1" applyBorder="1" applyAlignment="1">
      <alignment horizontal="center"/>
    </xf>
    <xf numFmtId="4" fontId="0" fillId="35" borderId="74" xfId="0" applyNumberFormat="1" applyFont="1" applyFill="1" applyBorder="1" applyAlignment="1">
      <alignment horizontal="center"/>
    </xf>
    <xf numFmtId="167" fontId="7" fillId="0" borderId="0" xfId="0" applyNumberFormat="1" applyFont="1" applyBorder="1"/>
    <xf numFmtId="9" fontId="1" fillId="0" borderId="63" xfId="1" applyBorder="1"/>
    <xf numFmtId="0" fontId="6" fillId="86" borderId="6" xfId="0" applyFont="1" applyFill="1" applyBorder="1"/>
    <xf numFmtId="44" fontId="6" fillId="86" borderId="6" xfId="6" applyNumberFormat="1" applyFont="1" applyFill="1" applyBorder="1"/>
    <xf numFmtId="0" fontId="6" fillId="86" borderId="6" xfId="0" applyFont="1" applyFill="1" applyBorder="1" applyAlignment="1">
      <alignment horizontal="right"/>
    </xf>
    <xf numFmtId="0" fontId="6" fillId="86" borderId="7" xfId="0" applyFont="1" applyFill="1" applyBorder="1"/>
    <xf numFmtId="44" fontId="6" fillId="86" borderId="7" xfId="6" applyNumberFormat="1" applyFont="1" applyFill="1" applyBorder="1"/>
    <xf numFmtId="0" fontId="13" fillId="3" borderId="10" xfId="0" applyFont="1" applyFill="1" applyBorder="1" applyAlignment="1">
      <alignment horizontal="center" vertical="center" wrapText="1"/>
    </xf>
    <xf numFmtId="0" fontId="5" fillId="86" borderId="56" xfId="0" applyFont="1" applyFill="1" applyBorder="1" applyAlignment="1"/>
    <xf numFmtId="167" fontId="17" fillId="21" borderId="6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9" fontId="3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1" fillId="0" borderId="6" xfId="2" applyNumberFormat="1" applyFont="1" applyBorder="1" applyAlignment="1">
      <alignment horizontal="center"/>
    </xf>
    <xf numFmtId="9" fontId="1" fillId="0" borderId="6" xfId="1" applyFont="1" applyBorder="1" applyAlignment="1">
      <alignment horizontal="center"/>
    </xf>
    <xf numFmtId="44" fontId="1" fillId="0" borderId="3" xfId="6" applyFont="1" applyBorder="1" applyAlignment="1">
      <alignment horizontal="center"/>
    </xf>
    <xf numFmtId="44" fontId="0" fillId="0" borderId="0" xfId="0" applyNumberFormat="1" applyFont="1"/>
    <xf numFmtId="44" fontId="6" fillId="0" borderId="0" xfId="0" applyNumberFormat="1" applyFont="1"/>
    <xf numFmtId="2" fontId="0" fillId="85" borderId="29" xfId="0" applyNumberFormat="1" applyFill="1" applyBorder="1" applyAlignment="1">
      <alignment horizontal="center"/>
    </xf>
    <xf numFmtId="2" fontId="0" fillId="11" borderId="29" xfId="0" applyNumberFormat="1" applyFill="1" applyBorder="1" applyAlignment="1">
      <alignment horizontal="center"/>
    </xf>
    <xf numFmtId="2" fontId="27" fillId="8" borderId="29" xfId="0" applyNumberFormat="1" applyFont="1" applyFill="1" applyBorder="1" applyAlignment="1">
      <alignment horizontal="center"/>
    </xf>
    <xf numFmtId="191" fontId="1" fillId="85" borderId="29" xfId="1" applyNumberFormat="1" applyFill="1" applyBorder="1" applyAlignment="1">
      <alignment horizontal="center"/>
    </xf>
    <xf numFmtId="191" fontId="27" fillId="8" borderId="29" xfId="0" applyNumberFormat="1" applyFont="1" applyFill="1" applyBorder="1" applyAlignment="1">
      <alignment horizontal="center"/>
    </xf>
    <xf numFmtId="0" fontId="27" fillId="16" borderId="29" xfId="0" applyFont="1" applyFill="1" applyBorder="1" applyAlignment="1">
      <alignment horizontal="center"/>
    </xf>
    <xf numFmtId="2" fontId="0" fillId="87" borderId="6" xfId="0" applyNumberFormat="1" applyFill="1" applyBorder="1" applyAlignment="1">
      <alignment horizontal="center"/>
    </xf>
    <xf numFmtId="191" fontId="1" fillId="87" borderId="6" xfId="1" applyNumberFormat="1" applyFill="1" applyBorder="1" applyAlignment="1">
      <alignment horizontal="center"/>
    </xf>
    <xf numFmtId="11" fontId="0" fillId="0" borderId="0" xfId="0" applyNumberFormat="1" applyFill="1"/>
    <xf numFmtId="9" fontId="0" fillId="0" borderId="0" xfId="0" applyNumberFormat="1"/>
    <xf numFmtId="167" fontId="6" fillId="37" borderId="6" xfId="0" applyNumberFormat="1" applyFont="1" applyFill="1" applyBorder="1" applyAlignment="1">
      <alignment horizontal="center" vertical="center" wrapText="1"/>
    </xf>
    <xf numFmtId="9" fontId="28" fillId="0" borderId="6" xfId="1" applyFont="1" applyBorder="1" applyAlignment="1">
      <alignment horizontal="center"/>
    </xf>
    <xf numFmtId="197" fontId="0" fillId="0" borderId="0" xfId="0" applyNumberFormat="1"/>
    <xf numFmtId="0" fontId="24" fillId="0" borderId="6" xfId="2" applyFont="1" applyBorder="1" applyAlignment="1">
      <alignment horizontal="center" vertical="center" wrapText="1" shrinkToFit="1"/>
    </xf>
    <xf numFmtId="0" fontId="24" fillId="0" borderId="98" xfId="2" applyFont="1" applyBorder="1"/>
    <xf numFmtId="44" fontId="24" fillId="0" borderId="3" xfId="6" applyFont="1" applyBorder="1" applyAlignment="1">
      <alignment horizontal="center"/>
    </xf>
    <xf numFmtId="44" fontId="24" fillId="0" borderId="57" xfId="6" applyFont="1" applyBorder="1" applyAlignment="1">
      <alignment horizontal="center"/>
    </xf>
    <xf numFmtId="44" fontId="77" fillId="0" borderId="6" xfId="6" applyFont="1" applyBorder="1" applyAlignment="1">
      <alignment horizontal="center"/>
    </xf>
    <xf numFmtId="9" fontId="78" fillId="0" borderId="6" xfId="1" applyFont="1" applyBorder="1" applyAlignment="1">
      <alignment horizontal="center"/>
    </xf>
    <xf numFmtId="44" fontId="24" fillId="0" borderId="6" xfId="6" applyFont="1" applyBorder="1" applyAlignment="1">
      <alignment horizontal="center"/>
    </xf>
    <xf numFmtId="0" fontId="24" fillId="0" borderId="0" xfId="0" applyFont="1"/>
    <xf numFmtId="9" fontId="24" fillId="0" borderId="0" xfId="1" applyFont="1"/>
    <xf numFmtId="44" fontId="24" fillId="0" borderId="0" xfId="0" applyNumberFormat="1" applyFont="1"/>
    <xf numFmtId="44" fontId="0" fillId="0" borderId="6" xfId="0" applyNumberFormat="1" applyBorder="1"/>
    <xf numFmtId="44" fontId="0" fillId="11" borderId="6" xfId="6" quotePrefix="1" applyFont="1" applyFill="1" applyBorder="1"/>
    <xf numFmtId="0" fontId="9" fillId="0" borderId="0" xfId="0" applyFont="1" applyAlignment="1">
      <alignment horizontal="left"/>
    </xf>
    <xf numFmtId="0" fontId="81" fillId="6" borderId="0" xfId="0" applyFont="1" applyFill="1" applyAlignment="1">
      <alignment horizontal="left"/>
    </xf>
    <xf numFmtId="0" fontId="9" fillId="0" borderId="0" xfId="0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172" fontId="9" fillId="0" borderId="0" xfId="0" applyNumberFormat="1" applyFont="1"/>
    <xf numFmtId="0" fontId="2" fillId="36" borderId="28" xfId="0" applyFont="1" applyFill="1" applyBorder="1" applyAlignment="1">
      <alignment horizontal="center" vertical="center" wrapText="1"/>
    </xf>
    <xf numFmtId="182" fontId="9" fillId="0" borderId="27" xfId="0" applyNumberFormat="1" applyFont="1" applyBorder="1" applyAlignment="1">
      <alignment horizontal="left"/>
    </xf>
    <xf numFmtId="165" fontId="9" fillId="0" borderId="0" xfId="0" applyNumberFormat="1" applyFont="1"/>
    <xf numFmtId="0" fontId="2" fillId="73" borderId="58" xfId="0" applyFont="1" applyFill="1" applyBorder="1" applyAlignment="1">
      <alignment vertical="center" wrapText="1"/>
    </xf>
    <xf numFmtId="167" fontId="2" fillId="9" borderId="34" xfId="0" applyNumberFormat="1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165" fontId="82" fillId="9" borderId="38" xfId="0" applyNumberFormat="1" applyFont="1" applyFill="1" applyBorder="1" applyAlignment="1">
      <alignment horizontal="center" vertical="center" wrapText="1"/>
    </xf>
    <xf numFmtId="165" fontId="82" fillId="9" borderId="36" xfId="0" applyNumberFormat="1" applyFont="1" applyFill="1" applyBorder="1" applyAlignment="1">
      <alignment horizontal="center" vertical="center" wrapText="1"/>
    </xf>
    <xf numFmtId="164" fontId="2" fillId="22" borderId="36" xfId="5" applyNumberFormat="1" applyFont="1" applyFill="1" applyBorder="1" applyAlignment="1">
      <alignment horizontal="center" vertical="center" wrapText="1"/>
    </xf>
    <xf numFmtId="2" fontId="9" fillId="22" borderId="36" xfId="0" applyNumberFormat="1" applyFont="1" applyFill="1" applyBorder="1" applyAlignment="1">
      <alignment horizontal="center" vertical="center" wrapText="1"/>
    </xf>
    <xf numFmtId="165" fontId="9" fillId="9" borderId="36" xfId="0" applyNumberFormat="1" applyFont="1" applyFill="1" applyBorder="1" applyAlignment="1">
      <alignment horizontal="center" vertical="center" wrapText="1"/>
    </xf>
    <xf numFmtId="170" fontId="2" fillId="9" borderId="34" xfId="0" applyNumberFormat="1" applyFont="1" applyFill="1" applyBorder="1" applyAlignment="1">
      <alignment horizontal="center" vertical="center" wrapText="1"/>
    </xf>
    <xf numFmtId="170" fontId="2" fillId="73" borderId="34" xfId="0" applyNumberFormat="1" applyFont="1" applyFill="1" applyBorder="1" applyAlignment="1">
      <alignment horizontal="center" vertical="center" wrapText="1"/>
    </xf>
    <xf numFmtId="0" fontId="9" fillId="73" borderId="35" xfId="0" applyFont="1" applyFill="1" applyBorder="1" applyAlignment="1">
      <alignment horizontal="center" vertical="center" wrapText="1"/>
    </xf>
    <xf numFmtId="0" fontId="9" fillId="73" borderId="36" xfId="0" applyFont="1" applyFill="1" applyBorder="1" applyAlignment="1">
      <alignment horizontal="center" vertical="center" wrapText="1"/>
    </xf>
    <xf numFmtId="165" fontId="9" fillId="73" borderId="36" xfId="0" applyNumberFormat="1" applyFont="1" applyFill="1" applyBorder="1" applyAlignment="1">
      <alignment horizontal="center" vertical="center" wrapText="1"/>
    </xf>
    <xf numFmtId="165" fontId="9" fillId="28" borderId="35" xfId="0" applyNumberFormat="1" applyFont="1" applyFill="1" applyBorder="1" applyAlignment="1">
      <alignment horizontal="center" vertical="center" wrapText="1"/>
    </xf>
    <xf numFmtId="165" fontId="9" fillId="28" borderId="36" xfId="0" applyNumberFormat="1" applyFont="1" applyFill="1" applyBorder="1" applyAlignment="1">
      <alignment horizontal="center" vertical="center" wrapText="1"/>
    </xf>
    <xf numFmtId="0" fontId="9" fillId="28" borderId="35" xfId="0" applyFont="1" applyFill="1" applyBorder="1" applyAlignment="1">
      <alignment horizontal="center" vertical="center" wrapText="1"/>
    </xf>
    <xf numFmtId="0" fontId="9" fillId="28" borderId="36" xfId="0" applyFont="1" applyFill="1" applyBorder="1" applyAlignment="1">
      <alignment horizontal="center" vertical="center" wrapText="1"/>
    </xf>
    <xf numFmtId="167" fontId="2" fillId="9" borderId="44" xfId="0" applyNumberFormat="1" applyFont="1" applyFill="1" applyBorder="1" applyAlignment="1">
      <alignment horizontal="center" vertical="center" wrapText="1"/>
    </xf>
    <xf numFmtId="0" fontId="9" fillId="28" borderId="41" xfId="0" applyFont="1" applyFill="1" applyBorder="1" applyAlignment="1">
      <alignment horizontal="center" vertical="center" wrapText="1"/>
    </xf>
    <xf numFmtId="0" fontId="9" fillId="28" borderId="45" xfId="0" applyFont="1" applyFill="1" applyBorder="1" applyAlignment="1">
      <alignment horizontal="center" vertical="center" wrapText="1"/>
    </xf>
    <xf numFmtId="169" fontId="9" fillId="28" borderId="36" xfId="0" applyNumberFormat="1" applyFont="1" applyFill="1" applyBorder="1" applyAlignment="1">
      <alignment horizontal="center" vertical="center" wrapText="1"/>
    </xf>
    <xf numFmtId="165" fontId="2" fillId="66" borderId="58" xfId="0" applyNumberFormat="1" applyFont="1" applyFill="1" applyBorder="1" applyAlignment="1">
      <alignment horizontal="left" vertical="center" wrapText="1"/>
    </xf>
    <xf numFmtId="170" fontId="2" fillId="9" borderId="101" xfId="0" applyNumberFormat="1" applyFont="1" applyFill="1" applyBorder="1" applyAlignment="1">
      <alignment horizontal="center" vertical="center" wrapText="1"/>
    </xf>
    <xf numFmtId="165" fontId="9" fillId="28" borderId="103" xfId="0" applyNumberFormat="1" applyFont="1" applyFill="1" applyBorder="1" applyAlignment="1">
      <alignment horizontal="center" vertical="center" wrapText="1"/>
    </xf>
    <xf numFmtId="170" fontId="2" fillId="9" borderId="104" xfId="0" applyNumberFormat="1" applyFont="1" applyFill="1" applyBorder="1" applyAlignment="1">
      <alignment horizontal="center" vertical="center" wrapText="1"/>
    </xf>
    <xf numFmtId="2" fontId="9" fillId="28" borderId="105" xfId="0" applyNumberFormat="1" applyFont="1" applyFill="1" applyBorder="1" applyAlignment="1">
      <alignment horizontal="center" vertical="center" wrapText="1"/>
    </xf>
    <xf numFmtId="165" fontId="9" fillId="28" borderId="106" xfId="0" applyNumberFormat="1" applyFont="1" applyFill="1" applyBorder="1" applyAlignment="1">
      <alignment horizontal="center" vertical="center" wrapText="1"/>
    </xf>
    <xf numFmtId="165" fontId="9" fillId="28" borderId="32" xfId="0" applyNumberFormat="1" applyFont="1" applyFill="1" applyBorder="1" applyAlignment="1">
      <alignment horizontal="center" vertical="center" wrapText="1"/>
    </xf>
    <xf numFmtId="170" fontId="2" fillId="9" borderId="78" xfId="0" applyNumberFormat="1" applyFont="1" applyFill="1" applyBorder="1" applyAlignment="1">
      <alignment horizontal="center" vertical="center" wrapText="1"/>
    </xf>
    <xf numFmtId="2" fontId="9" fillId="28" borderId="102" xfId="0" applyNumberFormat="1" applyFont="1" applyFill="1" applyBorder="1" applyAlignment="1">
      <alignment horizontal="center" vertical="center" wrapText="1"/>
    </xf>
    <xf numFmtId="170" fontId="2" fillId="9" borderId="61" xfId="0" applyNumberFormat="1" applyFont="1" applyFill="1" applyBorder="1" applyAlignment="1">
      <alignment horizontal="right" vertical="center" wrapText="1"/>
    </xf>
    <xf numFmtId="0" fontId="2" fillId="8" borderId="5" xfId="0" applyFont="1" applyFill="1" applyBorder="1" applyAlignment="1">
      <alignment horizontal="left" vertical="center"/>
    </xf>
    <xf numFmtId="170" fontId="2" fillId="8" borderId="49" xfId="0" applyNumberFormat="1" applyFont="1" applyFill="1" applyBorder="1" applyAlignment="1">
      <alignment horizontal="left" vertical="center"/>
    </xf>
    <xf numFmtId="0" fontId="9" fillId="0" borderId="91" xfId="0" applyFont="1" applyFill="1" applyBorder="1" applyAlignment="1">
      <alignment horizontal="right"/>
    </xf>
    <xf numFmtId="167" fontId="9" fillId="12" borderId="14" xfId="0" applyNumberFormat="1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165" fontId="9" fillId="12" borderId="15" xfId="0" applyNumberFormat="1" applyFont="1" applyFill="1" applyBorder="1" applyAlignment="1">
      <alignment horizontal="center" vertical="center" wrapText="1"/>
    </xf>
    <xf numFmtId="167" fontId="9" fillId="12" borderId="15" xfId="0" applyNumberFormat="1" applyFont="1" applyFill="1" applyBorder="1" applyAlignment="1">
      <alignment horizontal="center" vertical="center" wrapText="1"/>
    </xf>
    <xf numFmtId="165" fontId="9" fillId="12" borderId="26" xfId="0" applyNumberFormat="1" applyFont="1" applyFill="1" applyBorder="1" applyAlignment="1">
      <alignment horizontal="center" vertical="center" wrapText="1"/>
    </xf>
    <xf numFmtId="167" fontId="9" fillId="11" borderId="14" xfId="0" applyNumberFormat="1" applyFont="1" applyFill="1" applyBorder="1" applyAlignment="1">
      <alignment horizontal="center" vertical="center" wrapText="1"/>
    </xf>
    <xf numFmtId="165" fontId="9" fillId="11" borderId="15" xfId="0" applyNumberFormat="1" applyFont="1" applyFill="1" applyBorder="1" applyAlignment="1">
      <alignment horizontal="center" vertical="center" wrapText="1"/>
    </xf>
    <xf numFmtId="167" fontId="9" fillId="13" borderId="14" xfId="0" applyNumberFormat="1" applyFont="1" applyFill="1" applyBorder="1" applyAlignment="1">
      <alignment horizontal="center" vertical="center" wrapText="1"/>
    </xf>
    <xf numFmtId="2" fontId="9" fillId="13" borderId="15" xfId="0" applyNumberFormat="1" applyFont="1" applyFill="1" applyBorder="1" applyAlignment="1">
      <alignment horizontal="center" vertical="center" wrapText="1"/>
    </xf>
    <xf numFmtId="167" fontId="9" fillId="14" borderId="14" xfId="0" applyNumberFormat="1" applyFont="1" applyFill="1" applyBorder="1" applyAlignment="1">
      <alignment horizontal="center" vertical="center" wrapText="1"/>
    </xf>
    <xf numFmtId="196" fontId="9" fillId="14" borderId="15" xfId="0" applyNumberFormat="1" applyFont="1" applyFill="1" applyBorder="1" applyAlignment="1">
      <alignment horizontal="center" vertical="center" wrapText="1"/>
    </xf>
    <xf numFmtId="165" fontId="9" fillId="14" borderId="16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/>
    </xf>
    <xf numFmtId="167" fontId="9" fillId="15" borderId="92" xfId="0" applyNumberFormat="1" applyFont="1" applyFill="1" applyBorder="1" applyAlignment="1">
      <alignment horizontal="center" vertical="center" wrapText="1"/>
    </xf>
    <xf numFmtId="2" fontId="9" fillId="15" borderId="15" xfId="0" applyNumberFormat="1" applyFont="1" applyFill="1" applyBorder="1" applyAlignment="1">
      <alignment horizontal="center" vertical="center" wrapText="1"/>
    </xf>
    <xf numFmtId="165" fontId="9" fillId="15" borderId="15" xfId="0" applyNumberFormat="1" applyFont="1" applyFill="1" applyBorder="1" applyAlignment="1">
      <alignment horizontal="center" vertical="center" wrapText="1"/>
    </xf>
    <xf numFmtId="170" fontId="9" fillId="85" borderId="15" xfId="0" applyNumberFormat="1" applyFont="1" applyFill="1" applyBorder="1" applyAlignment="1">
      <alignment horizontal="center" vertical="center" wrapText="1"/>
    </xf>
    <xf numFmtId="0" fontId="9" fillId="85" borderId="15" xfId="0" applyFont="1" applyFill="1" applyBorder="1" applyAlignment="1">
      <alignment horizontal="center" vertical="center" wrapText="1"/>
    </xf>
    <xf numFmtId="167" fontId="9" fillId="60" borderId="15" xfId="0" applyNumberFormat="1" applyFont="1" applyFill="1" applyBorder="1" applyAlignment="1">
      <alignment horizontal="center" vertical="center" wrapText="1"/>
    </xf>
    <xf numFmtId="165" fontId="9" fillId="60" borderId="15" xfId="0" applyNumberFormat="1" applyFont="1" applyFill="1" applyBorder="1" applyAlignment="1">
      <alignment horizontal="center" vertical="center" wrapText="1"/>
    </xf>
    <xf numFmtId="167" fontId="9" fillId="56" borderId="15" xfId="0" applyNumberFormat="1" applyFont="1" applyFill="1" applyBorder="1" applyAlignment="1">
      <alignment horizontal="center" vertical="center" wrapText="1"/>
    </xf>
    <xf numFmtId="169" fontId="9" fillId="56" borderId="15" xfId="0" applyNumberFormat="1" applyFont="1" applyFill="1" applyBorder="1" applyAlignment="1">
      <alignment horizontal="center" vertical="center" wrapText="1"/>
    </xf>
    <xf numFmtId="165" fontId="9" fillId="56" borderId="15" xfId="0" applyNumberFormat="1" applyFont="1" applyFill="1" applyBorder="1" applyAlignment="1">
      <alignment horizontal="center" vertical="center" wrapText="1"/>
    </xf>
    <xf numFmtId="167" fontId="9" fillId="29" borderId="15" xfId="0" applyNumberFormat="1" applyFont="1" applyFill="1" applyBorder="1" applyAlignment="1">
      <alignment horizontal="center" vertical="center" wrapText="1"/>
    </xf>
    <xf numFmtId="188" fontId="9" fillId="29" borderId="15" xfId="5" applyNumberFormat="1" applyFont="1" applyFill="1" applyBorder="1" applyAlignment="1">
      <alignment vertical="center" wrapText="1"/>
    </xf>
    <xf numFmtId="165" fontId="9" fillId="29" borderId="15" xfId="0" applyNumberFormat="1" applyFont="1" applyFill="1" applyBorder="1" applyAlignment="1">
      <alignment horizontal="center" vertical="center" wrapText="1"/>
    </xf>
    <xf numFmtId="167" fontId="9" fillId="80" borderId="15" xfId="0" applyNumberFormat="1" applyFont="1" applyFill="1" applyBorder="1" applyAlignment="1">
      <alignment horizontal="center" vertical="center" wrapText="1"/>
    </xf>
    <xf numFmtId="166" fontId="9" fillId="80" borderId="15" xfId="0" applyNumberFormat="1" applyFont="1" applyFill="1" applyBorder="1" applyAlignment="1">
      <alignment horizontal="center" vertical="center" wrapText="1"/>
    </xf>
    <xf numFmtId="165" fontId="9" fillId="80" borderId="15" xfId="0" applyNumberFormat="1" applyFont="1" applyFill="1" applyBorder="1" applyAlignment="1">
      <alignment horizontal="center" vertical="center" wrapText="1"/>
    </xf>
    <xf numFmtId="167" fontId="9" fillId="16" borderId="15" xfId="0" applyNumberFormat="1" applyFont="1" applyFill="1" applyBorder="1" applyAlignment="1">
      <alignment horizontal="center" vertical="center" wrapText="1"/>
    </xf>
    <xf numFmtId="165" fontId="9" fillId="16" borderId="16" xfId="0" applyNumberFormat="1" applyFont="1" applyFill="1" applyBorder="1" applyAlignment="1">
      <alignment horizontal="center" vertical="center" wrapText="1"/>
    </xf>
    <xf numFmtId="165" fontId="9" fillId="45" borderId="84" xfId="0" applyNumberFormat="1" applyFont="1" applyFill="1" applyBorder="1" applyAlignment="1">
      <alignment horizontal="left" vertical="center" wrapText="1"/>
    </xf>
    <xf numFmtId="170" fontId="9" fillId="17" borderId="14" xfId="0" applyNumberFormat="1" applyFont="1" applyFill="1" applyBorder="1" applyAlignment="1">
      <alignment horizontal="center" vertical="center" wrapText="1"/>
    </xf>
    <xf numFmtId="165" fontId="9" fillId="17" borderId="15" xfId="0" applyNumberFormat="1" applyFont="1" applyFill="1" applyBorder="1" applyAlignment="1">
      <alignment horizontal="center" vertical="center" wrapText="1"/>
    </xf>
    <xf numFmtId="167" fontId="9" fillId="18" borderId="15" xfId="0" applyNumberFormat="1" applyFont="1" applyFill="1" applyBorder="1" applyAlignment="1">
      <alignment horizontal="center" vertical="center" wrapText="1"/>
    </xf>
    <xf numFmtId="2" fontId="9" fillId="18" borderId="15" xfId="0" applyNumberFormat="1" applyFont="1" applyFill="1" applyBorder="1" applyAlignment="1">
      <alignment horizontal="center" vertical="center" wrapText="1"/>
    </xf>
    <xf numFmtId="165" fontId="9" fillId="18" borderId="15" xfId="0" applyNumberFormat="1" applyFont="1" applyFill="1" applyBorder="1" applyAlignment="1">
      <alignment horizontal="center" vertical="center" wrapText="1"/>
    </xf>
    <xf numFmtId="167" fontId="9" fillId="19" borderId="15" xfId="0" applyNumberFormat="1" applyFont="1" applyFill="1" applyBorder="1" applyAlignment="1">
      <alignment horizontal="center" vertical="center" wrapText="1"/>
    </xf>
    <xf numFmtId="2" fontId="9" fillId="19" borderId="15" xfId="0" applyNumberFormat="1" applyFont="1" applyFill="1" applyBorder="1" applyAlignment="1">
      <alignment horizontal="center" vertical="center" wrapText="1"/>
    </xf>
    <xf numFmtId="165" fontId="9" fillId="19" borderId="15" xfId="0" applyNumberFormat="1" applyFont="1" applyFill="1" applyBorder="1" applyAlignment="1">
      <alignment horizontal="center" vertical="center" wrapText="1"/>
    </xf>
    <xf numFmtId="167" fontId="9" fillId="36" borderId="15" xfId="0" applyNumberFormat="1" applyFont="1" applyFill="1" applyBorder="1" applyAlignment="1">
      <alignment horizontal="center" vertical="center" wrapText="1"/>
    </xf>
    <xf numFmtId="168" fontId="9" fillId="36" borderId="15" xfId="0" applyNumberFormat="1" applyFont="1" applyFill="1" applyBorder="1" applyAlignment="1">
      <alignment horizontal="center" vertical="center" wrapText="1"/>
    </xf>
    <xf numFmtId="165" fontId="9" fillId="36" borderId="16" xfId="0" applyNumberFormat="1" applyFont="1" applyFill="1" applyBorder="1" applyAlignment="1">
      <alignment horizontal="center" vertical="center" wrapText="1"/>
    </xf>
    <xf numFmtId="170" fontId="2" fillId="79" borderId="14" xfId="0" applyNumberFormat="1" applyFont="1" applyFill="1" applyBorder="1" applyAlignment="1">
      <alignment horizontal="right" vertical="center" wrapText="1"/>
    </xf>
    <xf numFmtId="166" fontId="9" fillId="0" borderId="10" xfId="0" applyNumberFormat="1" applyFont="1" applyFill="1" applyBorder="1" applyAlignment="1">
      <alignment horizontal="center" vertical="center"/>
    </xf>
    <xf numFmtId="175" fontId="9" fillId="0" borderId="0" xfId="0" applyNumberFormat="1" applyFont="1"/>
    <xf numFmtId="166" fontId="9" fillId="0" borderId="0" xfId="0" applyNumberFormat="1" applyFont="1"/>
    <xf numFmtId="0" fontId="9" fillId="0" borderId="74" xfId="0" applyFont="1" applyFill="1" applyBorder="1" applyAlignment="1">
      <alignment horizontal="right"/>
    </xf>
    <xf numFmtId="167" fontId="9" fillId="12" borderId="21" xfId="0" applyNumberFormat="1" applyFont="1" applyFill="1" applyBorder="1" applyAlignment="1">
      <alignment horizontal="center" vertical="center" wrapText="1"/>
    </xf>
    <xf numFmtId="175" fontId="9" fillId="12" borderId="6" xfId="0" applyNumberFormat="1" applyFont="1" applyFill="1" applyBorder="1" applyAlignment="1">
      <alignment horizontal="center" vertical="center" wrapText="1"/>
    </xf>
    <xf numFmtId="165" fontId="9" fillId="12" borderId="6" xfId="0" applyNumberFormat="1" applyFont="1" applyFill="1" applyBorder="1" applyAlignment="1">
      <alignment horizontal="center" vertical="center" wrapText="1"/>
    </xf>
    <xf numFmtId="167" fontId="9" fillId="12" borderId="6" xfId="0" applyNumberFormat="1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165" fontId="9" fillId="12" borderId="29" xfId="0" applyNumberFormat="1" applyFont="1" applyFill="1" applyBorder="1" applyAlignment="1">
      <alignment horizontal="center" vertical="center" wrapText="1"/>
    </xf>
    <xf numFmtId="167" fontId="9" fillId="11" borderId="21" xfId="0" applyNumberFormat="1" applyFont="1" applyFill="1" applyBorder="1" applyAlignment="1">
      <alignment horizontal="center" vertical="center" wrapText="1"/>
    </xf>
    <xf numFmtId="165" fontId="9" fillId="11" borderId="6" xfId="0" applyNumberFormat="1" applyFont="1" applyFill="1" applyBorder="1" applyAlignment="1">
      <alignment horizontal="center" vertical="center" wrapText="1"/>
    </xf>
    <xf numFmtId="167" fontId="9" fillId="13" borderId="21" xfId="0" applyNumberFormat="1" applyFont="1" applyFill="1" applyBorder="1" applyAlignment="1">
      <alignment horizontal="center" vertical="center" wrapText="1"/>
    </xf>
    <xf numFmtId="165" fontId="9" fillId="13" borderId="6" xfId="0" applyNumberFormat="1" applyFont="1" applyFill="1" applyBorder="1" applyAlignment="1">
      <alignment horizontal="center" vertical="center" wrapText="1"/>
    </xf>
    <xf numFmtId="167" fontId="9" fillId="14" borderId="21" xfId="0" applyNumberFormat="1" applyFont="1" applyFill="1" applyBorder="1" applyAlignment="1">
      <alignment horizontal="center" vertical="center" wrapText="1"/>
    </xf>
    <xf numFmtId="196" fontId="9" fillId="14" borderId="6" xfId="0" applyNumberFormat="1" applyFont="1" applyFill="1" applyBorder="1" applyAlignment="1">
      <alignment horizontal="center" vertical="center" wrapText="1"/>
    </xf>
    <xf numFmtId="165" fontId="9" fillId="14" borderId="22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right"/>
    </xf>
    <xf numFmtId="167" fontId="9" fillId="15" borderId="28" xfId="0" applyNumberFormat="1" applyFont="1" applyFill="1" applyBorder="1" applyAlignment="1">
      <alignment horizontal="center" vertical="center" wrapText="1"/>
    </xf>
    <xf numFmtId="170" fontId="9" fillId="85" borderId="6" xfId="0" applyNumberFormat="1" applyFont="1" applyFill="1" applyBorder="1" applyAlignment="1">
      <alignment horizontal="center" vertical="center" wrapText="1"/>
    </xf>
    <xf numFmtId="175" fontId="9" fillId="85" borderId="6" xfId="0" applyNumberFormat="1" applyFont="1" applyFill="1" applyBorder="1" applyAlignment="1">
      <alignment horizontal="center" vertical="center" wrapText="1"/>
    </xf>
    <xf numFmtId="0" fontId="9" fillId="85" borderId="6" xfId="0" applyFont="1" applyFill="1" applyBorder="1" applyAlignment="1">
      <alignment horizontal="center" vertical="center" wrapText="1"/>
    </xf>
    <xf numFmtId="167" fontId="9" fillId="60" borderId="6" xfId="0" applyNumberFormat="1" applyFont="1" applyFill="1" applyBorder="1" applyAlignment="1">
      <alignment horizontal="center" vertical="center" wrapText="1"/>
    </xf>
    <xf numFmtId="172" fontId="9" fillId="60" borderId="6" xfId="0" applyNumberFormat="1" applyFont="1" applyFill="1" applyBorder="1" applyAlignment="1">
      <alignment horizontal="center" vertical="center" wrapText="1"/>
    </xf>
    <xf numFmtId="165" fontId="9" fillId="60" borderId="6" xfId="0" applyNumberFormat="1" applyFont="1" applyFill="1" applyBorder="1" applyAlignment="1">
      <alignment horizontal="center" vertical="center" wrapText="1"/>
    </xf>
    <xf numFmtId="167" fontId="9" fillId="56" borderId="6" xfId="0" applyNumberFormat="1" applyFont="1" applyFill="1" applyBorder="1" applyAlignment="1">
      <alignment horizontal="center" vertical="center" wrapText="1"/>
    </xf>
    <xf numFmtId="169" fontId="9" fillId="56" borderId="6" xfId="0" applyNumberFormat="1" applyFont="1" applyFill="1" applyBorder="1" applyAlignment="1">
      <alignment horizontal="center" vertical="center" wrapText="1"/>
    </xf>
    <xf numFmtId="165" fontId="9" fillId="56" borderId="6" xfId="0" applyNumberFormat="1" applyFont="1" applyFill="1" applyBorder="1" applyAlignment="1">
      <alignment horizontal="center" vertical="center" wrapText="1"/>
    </xf>
    <xf numFmtId="167" fontId="9" fillId="29" borderId="6" xfId="0" applyNumberFormat="1" applyFont="1" applyFill="1" applyBorder="1" applyAlignment="1">
      <alignment horizontal="center" vertical="center" wrapText="1"/>
    </xf>
    <xf numFmtId="188" fontId="9" fillId="29" borderId="6" xfId="5" applyNumberFormat="1" applyFont="1" applyFill="1" applyBorder="1" applyAlignment="1">
      <alignment vertical="center" wrapText="1"/>
    </xf>
    <xf numFmtId="165" fontId="9" fillId="29" borderId="6" xfId="0" applyNumberFormat="1" applyFont="1" applyFill="1" applyBorder="1" applyAlignment="1">
      <alignment horizontal="center" vertical="center" wrapText="1"/>
    </xf>
    <xf numFmtId="167" fontId="9" fillId="80" borderId="6" xfId="0" applyNumberFormat="1" applyFont="1" applyFill="1" applyBorder="1" applyAlignment="1">
      <alignment horizontal="center" vertical="center" wrapText="1"/>
    </xf>
    <xf numFmtId="166" fontId="9" fillId="80" borderId="6" xfId="0" applyNumberFormat="1" applyFont="1" applyFill="1" applyBorder="1" applyAlignment="1">
      <alignment horizontal="center" vertical="center" wrapText="1"/>
    </xf>
    <xf numFmtId="165" fontId="9" fillId="80" borderId="6" xfId="0" applyNumberFormat="1" applyFont="1" applyFill="1" applyBorder="1" applyAlignment="1">
      <alignment horizontal="center" vertical="center" wrapText="1"/>
    </xf>
    <xf numFmtId="167" fontId="9" fillId="16" borderId="6" xfId="0" applyNumberFormat="1" applyFont="1" applyFill="1" applyBorder="1" applyAlignment="1">
      <alignment horizontal="center" vertical="center" wrapText="1"/>
    </xf>
    <xf numFmtId="165" fontId="9" fillId="16" borderId="22" xfId="0" applyNumberFormat="1" applyFont="1" applyFill="1" applyBorder="1" applyAlignment="1">
      <alignment horizontal="center" vertical="center" wrapText="1"/>
    </xf>
    <xf numFmtId="170" fontId="9" fillId="17" borderId="21" xfId="0" applyNumberFormat="1" applyFont="1" applyFill="1" applyBorder="1" applyAlignment="1">
      <alignment horizontal="center" vertical="center" wrapText="1"/>
    </xf>
    <xf numFmtId="165" fontId="9" fillId="17" borderId="6" xfId="0" applyNumberFormat="1" applyFont="1" applyFill="1" applyBorder="1" applyAlignment="1">
      <alignment horizontal="center" vertical="center" wrapText="1"/>
    </xf>
    <xf numFmtId="167" fontId="9" fillId="18" borderId="6" xfId="0" applyNumberFormat="1" applyFont="1" applyFill="1" applyBorder="1" applyAlignment="1">
      <alignment horizontal="center" vertical="center" wrapText="1"/>
    </xf>
    <xf numFmtId="2" fontId="9" fillId="18" borderId="6" xfId="0" applyNumberFormat="1" applyFont="1" applyFill="1" applyBorder="1" applyAlignment="1">
      <alignment horizontal="center" vertical="center" wrapText="1"/>
    </xf>
    <xf numFmtId="165" fontId="9" fillId="18" borderId="6" xfId="0" applyNumberFormat="1" applyFont="1" applyFill="1" applyBorder="1" applyAlignment="1">
      <alignment horizontal="center" vertical="center" wrapText="1"/>
    </xf>
    <xf numFmtId="167" fontId="9" fillId="19" borderId="6" xfId="0" applyNumberFormat="1" applyFont="1" applyFill="1" applyBorder="1" applyAlignment="1">
      <alignment horizontal="center" vertical="center" wrapText="1"/>
    </xf>
    <xf numFmtId="171" fontId="9" fillId="19" borderId="6" xfId="0" applyNumberFormat="1" applyFont="1" applyFill="1" applyBorder="1" applyAlignment="1">
      <alignment horizontal="center" vertical="center" wrapText="1"/>
    </xf>
    <xf numFmtId="165" fontId="9" fillId="19" borderId="6" xfId="0" applyNumberFormat="1" applyFont="1" applyFill="1" applyBorder="1" applyAlignment="1">
      <alignment horizontal="center" vertical="center" wrapText="1"/>
    </xf>
    <xf numFmtId="167" fontId="9" fillId="36" borderId="6" xfId="0" applyNumberFormat="1" applyFont="1" applyFill="1" applyBorder="1" applyAlignment="1">
      <alignment horizontal="center" vertical="center" wrapText="1"/>
    </xf>
    <xf numFmtId="168" fontId="9" fillId="36" borderId="6" xfId="0" applyNumberFormat="1" applyFont="1" applyFill="1" applyBorder="1" applyAlignment="1">
      <alignment horizontal="center" vertical="center" wrapText="1"/>
    </xf>
    <xf numFmtId="165" fontId="9" fillId="36" borderId="22" xfId="0" applyNumberFormat="1" applyFont="1" applyFill="1" applyBorder="1" applyAlignment="1">
      <alignment horizontal="center" vertical="center" wrapText="1"/>
    </xf>
    <xf numFmtId="170" fontId="82" fillId="79" borderId="21" xfId="0" applyNumberFormat="1" applyFont="1" applyFill="1" applyBorder="1" applyAlignment="1">
      <alignment horizontal="right" vertical="center" wrapText="1"/>
    </xf>
    <xf numFmtId="0" fontId="9" fillId="0" borderId="100" xfId="0" applyFont="1" applyFill="1" applyBorder="1" applyAlignment="1">
      <alignment horizontal="right"/>
    </xf>
    <xf numFmtId="0" fontId="9" fillId="0" borderId="107" xfId="0" applyFont="1" applyFill="1" applyBorder="1" applyAlignment="1">
      <alignment horizontal="right"/>
    </xf>
    <xf numFmtId="167" fontId="9" fillId="12" borderId="18" xfId="0" applyNumberFormat="1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165" fontId="9" fillId="12" borderId="19" xfId="0" applyNumberFormat="1" applyFont="1" applyFill="1" applyBorder="1" applyAlignment="1">
      <alignment horizontal="center" vertical="center" wrapText="1"/>
    </xf>
    <xf numFmtId="167" fontId="9" fillId="12" borderId="19" xfId="0" applyNumberFormat="1" applyFont="1" applyFill="1" applyBorder="1" applyAlignment="1">
      <alignment horizontal="center" vertical="center" wrapText="1"/>
    </xf>
    <xf numFmtId="165" fontId="9" fillId="12" borderId="93" xfId="0" applyNumberFormat="1" applyFont="1" applyFill="1" applyBorder="1" applyAlignment="1">
      <alignment horizontal="center" vertical="center" wrapText="1"/>
    </xf>
    <xf numFmtId="167" fontId="9" fillId="11" borderId="18" xfId="0" applyNumberFormat="1" applyFont="1" applyFill="1" applyBorder="1" applyAlignment="1">
      <alignment horizontal="center" vertical="center" wrapText="1"/>
    </xf>
    <xf numFmtId="165" fontId="9" fillId="11" borderId="19" xfId="0" applyNumberFormat="1" applyFont="1" applyFill="1" applyBorder="1" applyAlignment="1">
      <alignment horizontal="center" vertical="center" wrapText="1"/>
    </xf>
    <xf numFmtId="167" fontId="9" fillId="13" borderId="18" xfId="0" applyNumberFormat="1" applyFont="1" applyFill="1" applyBorder="1" applyAlignment="1">
      <alignment horizontal="center" vertical="center" wrapText="1"/>
    </xf>
    <xf numFmtId="165" fontId="9" fillId="13" borderId="19" xfId="0" applyNumberFormat="1" applyFont="1" applyFill="1" applyBorder="1" applyAlignment="1">
      <alignment horizontal="center" vertical="center" wrapText="1"/>
    </xf>
    <xf numFmtId="167" fontId="9" fillId="14" borderId="18" xfId="0" applyNumberFormat="1" applyFont="1" applyFill="1" applyBorder="1" applyAlignment="1">
      <alignment horizontal="center" vertical="center" wrapText="1"/>
    </xf>
    <xf numFmtId="196" fontId="9" fillId="14" borderId="19" xfId="0" applyNumberFormat="1" applyFont="1" applyFill="1" applyBorder="1" applyAlignment="1">
      <alignment horizontal="center" vertical="center" wrapText="1"/>
    </xf>
    <xf numFmtId="165" fontId="9" fillId="14" borderId="20" xfId="0" applyNumberFormat="1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right"/>
    </xf>
    <xf numFmtId="167" fontId="9" fillId="15" borderId="96" xfId="0" applyNumberFormat="1" applyFont="1" applyFill="1" applyBorder="1" applyAlignment="1">
      <alignment horizontal="center" vertical="center" wrapText="1"/>
    </xf>
    <xf numFmtId="170" fontId="9" fillId="85" borderId="19" xfId="0" applyNumberFormat="1" applyFont="1" applyFill="1" applyBorder="1" applyAlignment="1">
      <alignment horizontal="center" vertical="center" wrapText="1"/>
    </xf>
    <xf numFmtId="0" fontId="9" fillId="85" borderId="19" xfId="0" applyFont="1" applyFill="1" applyBorder="1" applyAlignment="1">
      <alignment horizontal="center" vertical="center" wrapText="1"/>
    </xf>
    <xf numFmtId="167" fontId="9" fillId="60" borderId="19" xfId="0" applyNumberFormat="1" applyFont="1" applyFill="1" applyBorder="1" applyAlignment="1">
      <alignment horizontal="center" vertical="center" wrapText="1"/>
    </xf>
    <xf numFmtId="172" fontId="9" fillId="60" borderId="19" xfId="0" applyNumberFormat="1" applyFont="1" applyFill="1" applyBorder="1" applyAlignment="1">
      <alignment horizontal="center" vertical="center" wrapText="1"/>
    </xf>
    <xf numFmtId="165" fontId="9" fillId="60" borderId="19" xfId="0" applyNumberFormat="1" applyFont="1" applyFill="1" applyBorder="1" applyAlignment="1">
      <alignment horizontal="center" vertical="center" wrapText="1"/>
    </xf>
    <xf numFmtId="167" fontId="9" fillId="56" borderId="19" xfId="0" applyNumberFormat="1" applyFont="1" applyFill="1" applyBorder="1" applyAlignment="1">
      <alignment horizontal="center" vertical="center" wrapText="1"/>
    </xf>
    <xf numFmtId="169" fontId="9" fillId="56" borderId="19" xfId="0" applyNumberFormat="1" applyFont="1" applyFill="1" applyBorder="1" applyAlignment="1">
      <alignment horizontal="center" vertical="center" wrapText="1"/>
    </xf>
    <xf numFmtId="165" fontId="9" fillId="56" borderId="19" xfId="0" applyNumberFormat="1" applyFont="1" applyFill="1" applyBorder="1" applyAlignment="1">
      <alignment horizontal="center" vertical="center" wrapText="1"/>
    </xf>
    <xf numFmtId="167" fontId="9" fillId="29" borderId="19" xfId="0" applyNumberFormat="1" applyFont="1" applyFill="1" applyBorder="1" applyAlignment="1">
      <alignment horizontal="center" vertical="center" wrapText="1"/>
    </xf>
    <xf numFmtId="188" fontId="9" fillId="29" borderId="19" xfId="5" applyNumberFormat="1" applyFont="1" applyFill="1" applyBorder="1" applyAlignment="1">
      <alignment vertical="center" wrapText="1"/>
    </xf>
    <xf numFmtId="165" fontId="9" fillId="29" borderId="19" xfId="0" applyNumberFormat="1" applyFont="1" applyFill="1" applyBorder="1" applyAlignment="1">
      <alignment horizontal="center" vertical="center" wrapText="1"/>
    </xf>
    <xf numFmtId="167" fontId="9" fillId="80" borderId="19" xfId="0" applyNumberFormat="1" applyFont="1" applyFill="1" applyBorder="1" applyAlignment="1">
      <alignment horizontal="center" vertical="center" wrapText="1"/>
    </xf>
    <xf numFmtId="166" fontId="9" fillId="80" borderId="19" xfId="0" applyNumberFormat="1" applyFont="1" applyFill="1" applyBorder="1" applyAlignment="1">
      <alignment horizontal="center" vertical="center" wrapText="1"/>
    </xf>
    <xf numFmtId="165" fontId="9" fillId="80" borderId="19" xfId="0" applyNumberFormat="1" applyFont="1" applyFill="1" applyBorder="1" applyAlignment="1">
      <alignment horizontal="center" vertical="center" wrapText="1"/>
    </xf>
    <xf numFmtId="167" fontId="9" fillId="16" borderId="19" xfId="0" applyNumberFormat="1" applyFont="1" applyFill="1" applyBorder="1" applyAlignment="1">
      <alignment horizontal="center" vertical="center" wrapText="1"/>
    </xf>
    <xf numFmtId="165" fontId="9" fillId="16" borderId="20" xfId="0" applyNumberFormat="1" applyFont="1" applyFill="1" applyBorder="1" applyAlignment="1">
      <alignment horizontal="center" vertical="center" wrapText="1"/>
    </xf>
    <xf numFmtId="170" fontId="9" fillId="17" borderId="18" xfId="0" applyNumberFormat="1" applyFont="1" applyFill="1" applyBorder="1" applyAlignment="1">
      <alignment horizontal="center" vertical="center" wrapText="1"/>
    </xf>
    <xf numFmtId="2" fontId="9" fillId="17" borderId="19" xfId="0" applyNumberFormat="1" applyFont="1" applyFill="1" applyBorder="1" applyAlignment="1">
      <alignment horizontal="center" vertical="center" wrapText="1"/>
    </xf>
    <xf numFmtId="165" fontId="9" fillId="17" borderId="19" xfId="0" applyNumberFormat="1" applyFont="1" applyFill="1" applyBorder="1" applyAlignment="1">
      <alignment horizontal="center" vertical="center" wrapText="1"/>
    </xf>
    <xf numFmtId="167" fontId="9" fillId="18" borderId="19" xfId="0" applyNumberFormat="1" applyFont="1" applyFill="1" applyBorder="1" applyAlignment="1">
      <alignment horizontal="center" vertical="center" wrapText="1"/>
    </xf>
    <xf numFmtId="2" fontId="9" fillId="18" borderId="19" xfId="0" applyNumberFormat="1" applyFont="1" applyFill="1" applyBorder="1" applyAlignment="1">
      <alignment horizontal="center" vertical="center" wrapText="1"/>
    </xf>
    <xf numFmtId="165" fontId="9" fillId="18" borderId="19" xfId="0" applyNumberFormat="1" applyFont="1" applyFill="1" applyBorder="1" applyAlignment="1">
      <alignment horizontal="center" vertical="center" wrapText="1"/>
    </xf>
    <xf numFmtId="167" fontId="9" fillId="19" borderId="19" xfId="0" applyNumberFormat="1" applyFont="1" applyFill="1" applyBorder="1" applyAlignment="1">
      <alignment horizontal="center" vertical="center" wrapText="1"/>
    </xf>
    <xf numFmtId="2" fontId="9" fillId="19" borderId="19" xfId="0" applyNumberFormat="1" applyFont="1" applyFill="1" applyBorder="1" applyAlignment="1">
      <alignment horizontal="center" vertical="center" wrapText="1"/>
    </xf>
    <xf numFmtId="165" fontId="9" fillId="19" borderId="19" xfId="0" applyNumberFormat="1" applyFont="1" applyFill="1" applyBorder="1" applyAlignment="1">
      <alignment horizontal="center" vertical="center" wrapText="1"/>
    </xf>
    <xf numFmtId="167" fontId="9" fillId="36" borderId="19" xfId="0" applyNumberFormat="1" applyFont="1" applyFill="1" applyBorder="1" applyAlignment="1">
      <alignment horizontal="center" vertical="center" wrapText="1"/>
    </xf>
    <xf numFmtId="168" fontId="9" fillId="36" borderId="19" xfId="0" applyNumberFormat="1" applyFont="1" applyFill="1" applyBorder="1" applyAlignment="1">
      <alignment horizontal="center" vertical="center" wrapText="1"/>
    </xf>
    <xf numFmtId="165" fontId="9" fillId="36" borderId="20" xfId="0" applyNumberFormat="1" applyFont="1" applyFill="1" applyBorder="1" applyAlignment="1">
      <alignment horizontal="center" vertical="center" wrapText="1"/>
    </xf>
    <xf numFmtId="170" fontId="82" fillId="79" borderId="18" xfId="0" applyNumberFormat="1" applyFont="1" applyFill="1" applyBorder="1" applyAlignment="1">
      <alignment horizontal="right" vertical="center" wrapText="1"/>
    </xf>
    <xf numFmtId="166" fontId="9" fillId="0" borderId="100" xfId="0" applyNumberFormat="1" applyFont="1" applyFill="1" applyBorder="1" applyAlignment="1">
      <alignment horizontal="center" vertical="center"/>
    </xf>
    <xf numFmtId="167" fontId="9" fillId="0" borderId="52" xfId="0" applyNumberFormat="1" applyFont="1" applyBorder="1"/>
    <xf numFmtId="175" fontId="9" fillId="0" borderId="52" xfId="0" applyNumberFormat="1" applyFont="1" applyBorder="1"/>
    <xf numFmtId="0" fontId="9" fillId="0" borderId="52" xfId="0" applyFont="1" applyBorder="1"/>
    <xf numFmtId="166" fontId="9" fillId="0" borderId="52" xfId="0" applyNumberFormat="1" applyFont="1" applyBorder="1"/>
    <xf numFmtId="0" fontId="9" fillId="60" borderId="15" xfId="0" applyFont="1" applyFill="1" applyBorder="1" applyAlignment="1">
      <alignment horizontal="center" vertical="center" wrapText="1"/>
    </xf>
    <xf numFmtId="174" fontId="9" fillId="80" borderId="15" xfId="0" applyNumberFormat="1" applyFont="1" applyFill="1" applyBorder="1" applyAlignment="1">
      <alignment horizontal="center" vertical="center" wrapText="1"/>
    </xf>
    <xf numFmtId="165" fontId="9" fillId="45" borderId="83" xfId="0" applyNumberFormat="1" applyFont="1" applyFill="1" applyBorder="1" applyAlignment="1">
      <alignment horizontal="left" vertical="center" wrapText="1"/>
    </xf>
    <xf numFmtId="2" fontId="9" fillId="17" borderId="15" xfId="0" applyNumberFormat="1" applyFont="1" applyFill="1" applyBorder="1" applyAlignment="1">
      <alignment horizontal="center" vertical="center" wrapText="1"/>
    </xf>
    <xf numFmtId="2" fontId="9" fillId="36" borderId="15" xfId="0" applyNumberFormat="1" applyFont="1" applyFill="1" applyBorder="1" applyAlignment="1">
      <alignment horizontal="center" vertical="center" wrapText="1"/>
    </xf>
    <xf numFmtId="190" fontId="9" fillId="15" borderId="6" xfId="0" applyNumberFormat="1" applyFont="1" applyFill="1" applyBorder="1" applyAlignment="1">
      <alignment horizontal="center" vertical="center" wrapText="1"/>
    </xf>
    <xf numFmtId="165" fontId="9" fillId="85" borderId="6" xfId="0" applyNumberFormat="1" applyFont="1" applyFill="1" applyBorder="1" applyAlignment="1">
      <alignment horizontal="center" vertical="center" wrapText="1"/>
    </xf>
    <xf numFmtId="0" fontId="9" fillId="60" borderId="6" xfId="0" applyFont="1" applyFill="1" applyBorder="1" applyAlignment="1">
      <alignment horizontal="center" vertical="center" wrapText="1"/>
    </xf>
    <xf numFmtId="174" fontId="9" fillId="80" borderId="6" xfId="0" applyNumberFormat="1" applyFont="1" applyFill="1" applyBorder="1" applyAlignment="1">
      <alignment horizontal="center" vertical="center" wrapText="1"/>
    </xf>
    <xf numFmtId="2" fontId="9" fillId="17" borderId="6" xfId="0" applyNumberFormat="1" applyFont="1" applyFill="1" applyBorder="1" applyAlignment="1">
      <alignment horizontal="center" vertical="center" wrapText="1"/>
    </xf>
    <xf numFmtId="2" fontId="9" fillId="19" borderId="6" xfId="0" applyNumberFormat="1" applyFont="1" applyFill="1" applyBorder="1" applyAlignment="1">
      <alignment horizontal="center" vertical="center" wrapText="1"/>
    </xf>
    <xf numFmtId="2" fontId="9" fillId="36" borderId="6" xfId="0" applyNumberFormat="1" applyFont="1" applyFill="1" applyBorder="1" applyAlignment="1">
      <alignment horizontal="center" vertical="center" wrapText="1"/>
    </xf>
    <xf numFmtId="190" fontId="9" fillId="15" borderId="19" xfId="0" applyNumberFormat="1" applyFont="1" applyFill="1" applyBorder="1" applyAlignment="1">
      <alignment horizontal="center" vertical="center" wrapText="1"/>
    </xf>
    <xf numFmtId="165" fontId="9" fillId="85" borderId="19" xfId="0" applyNumberFormat="1" applyFont="1" applyFill="1" applyBorder="1" applyAlignment="1">
      <alignment horizontal="center" vertical="center" wrapText="1"/>
    </xf>
    <xf numFmtId="0" fontId="9" fillId="60" borderId="19" xfId="0" applyFont="1" applyFill="1" applyBorder="1" applyAlignment="1">
      <alignment horizontal="center" vertical="center" wrapText="1"/>
    </xf>
    <xf numFmtId="174" fontId="9" fillId="80" borderId="19" xfId="0" applyNumberFormat="1" applyFont="1" applyFill="1" applyBorder="1" applyAlignment="1">
      <alignment horizontal="center" vertical="center" wrapText="1"/>
    </xf>
    <xf numFmtId="2" fontId="9" fillId="36" borderId="19" xfId="0" applyNumberFormat="1" applyFont="1" applyFill="1" applyBorder="1" applyAlignment="1">
      <alignment horizontal="center" vertical="center" wrapText="1"/>
    </xf>
    <xf numFmtId="165" fontId="9" fillId="85" borderId="15" xfId="0" applyNumberFormat="1" applyFont="1" applyFill="1" applyBorder="1" applyAlignment="1">
      <alignment horizontal="center" vertical="center" wrapText="1"/>
    </xf>
    <xf numFmtId="0" fontId="9" fillId="60" borderId="15" xfId="0" applyNumberFormat="1" applyFont="1" applyFill="1" applyBorder="1" applyAlignment="1">
      <alignment horizontal="center" vertical="center" wrapText="1"/>
    </xf>
    <xf numFmtId="166" fontId="9" fillId="56" borderId="15" xfId="0" applyNumberFormat="1" applyFont="1" applyFill="1" applyBorder="1" applyAlignment="1">
      <alignment horizontal="center" vertical="center" wrapText="1"/>
    </xf>
    <xf numFmtId="0" fontId="9" fillId="80" borderId="15" xfId="0" applyFont="1" applyFill="1" applyBorder="1" applyAlignment="1">
      <alignment horizontal="center" vertical="center" wrapText="1"/>
    </xf>
    <xf numFmtId="183" fontId="83" fillId="18" borderId="15" xfId="6" applyNumberFormat="1" applyFont="1" applyFill="1" applyBorder="1" applyAlignment="1">
      <alignment horizontal="center" vertical="center" wrapText="1"/>
    </xf>
    <xf numFmtId="2" fontId="83" fillId="18" borderId="15" xfId="6" applyNumberFormat="1" applyFont="1" applyFill="1" applyBorder="1" applyAlignment="1">
      <alignment horizontal="center" vertical="center" wrapText="1"/>
    </xf>
    <xf numFmtId="2" fontId="83" fillId="19" borderId="15" xfId="6" applyNumberFormat="1" applyFont="1" applyFill="1" applyBorder="1" applyAlignment="1">
      <alignment horizontal="center" vertical="center" wrapText="1"/>
    </xf>
    <xf numFmtId="187" fontId="9" fillId="15" borderId="6" xfId="0" applyNumberFormat="1" applyFont="1" applyFill="1" applyBorder="1" applyAlignment="1">
      <alignment horizontal="center" vertical="center" wrapText="1"/>
    </xf>
    <xf numFmtId="183" fontId="9" fillId="60" borderId="6" xfId="0" applyNumberFormat="1" applyFont="1" applyFill="1" applyBorder="1" applyAlignment="1">
      <alignment horizontal="center" vertical="center" wrapText="1"/>
    </xf>
    <xf numFmtId="166" fontId="9" fillId="56" borderId="6" xfId="0" applyNumberFormat="1" applyFont="1" applyFill="1" applyBorder="1" applyAlignment="1">
      <alignment horizontal="center" vertical="center" wrapText="1"/>
    </xf>
    <xf numFmtId="0" fontId="9" fillId="80" borderId="6" xfId="0" applyFont="1" applyFill="1" applyBorder="1" applyAlignment="1">
      <alignment horizontal="center" vertical="center" wrapText="1"/>
    </xf>
    <xf numFmtId="183" fontId="83" fillId="18" borderId="6" xfId="6" applyNumberFormat="1" applyFont="1" applyFill="1" applyBorder="1" applyAlignment="1">
      <alignment horizontal="center" vertical="center" wrapText="1"/>
    </xf>
    <xf numFmtId="2" fontId="83" fillId="18" borderId="6" xfId="6" applyNumberFormat="1" applyFont="1" applyFill="1" applyBorder="1" applyAlignment="1">
      <alignment horizontal="center" vertical="center" wrapText="1"/>
    </xf>
    <xf numFmtId="2" fontId="83" fillId="19" borderId="6" xfId="6" applyNumberFormat="1" applyFont="1" applyFill="1" applyBorder="1" applyAlignment="1">
      <alignment horizontal="center" vertical="center" wrapText="1"/>
    </xf>
    <xf numFmtId="187" fontId="9" fillId="15" borderId="19" xfId="0" applyNumberFormat="1" applyFont="1" applyFill="1" applyBorder="1" applyAlignment="1">
      <alignment horizontal="center" vertical="center" wrapText="1"/>
    </xf>
    <xf numFmtId="183" fontId="9" fillId="60" borderId="19" xfId="0" applyNumberFormat="1" applyFont="1" applyFill="1" applyBorder="1" applyAlignment="1">
      <alignment horizontal="center" vertical="center" wrapText="1"/>
    </xf>
    <xf numFmtId="166" fontId="9" fillId="56" borderId="19" xfId="0" applyNumberFormat="1" applyFont="1" applyFill="1" applyBorder="1" applyAlignment="1">
      <alignment horizontal="center" vertical="center" wrapText="1"/>
    </xf>
    <xf numFmtId="0" fontId="9" fillId="80" borderId="19" xfId="0" applyFont="1" applyFill="1" applyBorder="1" applyAlignment="1">
      <alignment horizontal="center" vertical="center" wrapText="1"/>
    </xf>
    <xf numFmtId="183" fontId="83" fillId="18" borderId="19" xfId="6" applyNumberFormat="1" applyFont="1" applyFill="1" applyBorder="1" applyAlignment="1">
      <alignment horizontal="center" vertical="center" wrapText="1"/>
    </xf>
    <xf numFmtId="2" fontId="83" fillId="18" borderId="19" xfId="6" applyNumberFormat="1" applyFont="1" applyFill="1" applyBorder="1" applyAlignment="1">
      <alignment horizontal="center" vertical="center" wrapText="1"/>
    </xf>
    <xf numFmtId="2" fontId="83" fillId="19" borderId="19" xfId="6" applyNumberFormat="1" applyFont="1" applyFill="1" applyBorder="1" applyAlignment="1">
      <alignment horizontal="center" vertical="center" wrapText="1"/>
    </xf>
    <xf numFmtId="2" fontId="9" fillId="85" borderId="15" xfId="0" applyNumberFormat="1" applyFont="1" applyFill="1" applyBorder="1" applyAlignment="1">
      <alignment horizontal="center" vertical="center" wrapText="1"/>
    </xf>
    <xf numFmtId="165" fontId="9" fillId="60" borderId="15" xfId="0" applyNumberFormat="1" applyFont="1" applyFill="1" applyBorder="1"/>
    <xf numFmtId="2" fontId="9" fillId="56" borderId="15" xfId="0" applyNumberFormat="1" applyFont="1" applyFill="1" applyBorder="1" applyAlignment="1">
      <alignment horizontal="center" vertical="center" wrapText="1"/>
    </xf>
    <xf numFmtId="171" fontId="9" fillId="18" borderId="15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0" fontId="9" fillId="15" borderId="6" xfId="0" applyFont="1" applyFill="1" applyBorder="1" applyAlignment="1">
      <alignment horizontal="center" vertical="center" wrapText="1"/>
    </xf>
    <xf numFmtId="2" fontId="9" fillId="85" borderId="6" xfId="0" applyNumberFormat="1" applyFont="1" applyFill="1" applyBorder="1" applyAlignment="1">
      <alignment horizontal="center" vertical="center" wrapText="1"/>
    </xf>
    <xf numFmtId="175" fontId="9" fillId="60" borderId="6" xfId="0" applyNumberFormat="1" applyFont="1" applyFill="1" applyBorder="1"/>
    <xf numFmtId="2" fontId="9" fillId="56" borderId="6" xfId="0" applyNumberFormat="1" applyFont="1" applyFill="1" applyBorder="1" applyAlignment="1">
      <alignment horizontal="center" vertical="center" wrapText="1"/>
    </xf>
    <xf numFmtId="171" fontId="9" fillId="18" borderId="6" xfId="0" applyNumberFormat="1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2" fontId="9" fillId="85" borderId="19" xfId="0" applyNumberFormat="1" applyFont="1" applyFill="1" applyBorder="1" applyAlignment="1">
      <alignment horizontal="center" vertical="center" wrapText="1"/>
    </xf>
    <xf numFmtId="0" fontId="9" fillId="60" borderId="19" xfId="0" applyFont="1" applyFill="1" applyBorder="1"/>
    <xf numFmtId="2" fontId="9" fillId="56" borderId="19" xfId="0" applyNumberFormat="1" applyFont="1" applyFill="1" applyBorder="1" applyAlignment="1">
      <alignment horizontal="center" vertical="center" wrapText="1"/>
    </xf>
    <xf numFmtId="171" fontId="9" fillId="18" borderId="19" xfId="0" applyNumberFormat="1" applyFont="1" applyFill="1" applyBorder="1" applyAlignment="1">
      <alignment horizontal="center" vertical="center" wrapText="1"/>
    </xf>
    <xf numFmtId="0" fontId="9" fillId="7" borderId="52" xfId="0" applyFont="1" applyFill="1" applyBorder="1"/>
    <xf numFmtId="0" fontId="9" fillId="20" borderId="15" xfId="0" applyFont="1" applyFill="1" applyBorder="1" applyAlignment="1">
      <alignment horizontal="center" vertical="center" wrapText="1"/>
    </xf>
    <xf numFmtId="180" fontId="9" fillId="61" borderId="15" xfId="0" applyNumberFormat="1" applyFont="1" applyFill="1" applyBorder="1" applyAlignment="1">
      <alignment horizontal="center" vertical="center" wrapText="1"/>
    </xf>
    <xf numFmtId="165" fontId="9" fillId="61" borderId="15" xfId="0" applyNumberFormat="1" applyFont="1" applyFill="1" applyBorder="1" applyAlignment="1">
      <alignment horizontal="center" vertical="center" wrapText="1"/>
    </xf>
    <xf numFmtId="175" fontId="9" fillId="56" borderId="15" xfId="0" applyNumberFormat="1" applyFont="1" applyFill="1" applyBorder="1" applyAlignment="1">
      <alignment horizontal="center" vertical="center" wrapText="1"/>
    </xf>
    <xf numFmtId="188" fontId="9" fillId="30" borderId="15" xfId="5" applyNumberFormat="1" applyFont="1" applyFill="1" applyBorder="1" applyAlignment="1">
      <alignment vertical="center" wrapText="1"/>
    </xf>
    <xf numFmtId="165" fontId="9" fillId="30" borderId="15" xfId="0" applyNumberFormat="1" applyFont="1" applyFill="1" applyBorder="1" applyAlignment="1">
      <alignment horizontal="center" vertical="center" wrapText="1"/>
    </xf>
    <xf numFmtId="0" fontId="9" fillId="81" borderId="15" xfId="0" applyFont="1" applyFill="1" applyBorder="1" applyAlignment="1">
      <alignment horizontal="center" vertical="center" wrapText="1"/>
    </xf>
    <xf numFmtId="165" fontId="9" fillId="81" borderId="15" xfId="0" applyNumberFormat="1" applyFont="1" applyFill="1" applyBorder="1" applyAlignment="1">
      <alignment horizontal="center" vertical="center" wrapText="1"/>
    </xf>
    <xf numFmtId="170" fontId="2" fillId="79" borderId="23" xfId="0" applyNumberFormat="1" applyFont="1" applyFill="1" applyBorder="1" applyAlignment="1">
      <alignment horizontal="right" vertical="center" wrapText="1"/>
    </xf>
    <xf numFmtId="180" fontId="9" fillId="61" borderId="6" xfId="0" applyNumberFormat="1" applyFont="1" applyFill="1" applyBorder="1" applyAlignment="1">
      <alignment horizontal="center" vertical="center" wrapText="1"/>
    </xf>
    <xf numFmtId="165" fontId="9" fillId="61" borderId="6" xfId="0" applyNumberFormat="1" applyFont="1" applyFill="1" applyBorder="1" applyAlignment="1">
      <alignment horizontal="center" vertical="center" wrapText="1"/>
    </xf>
    <xf numFmtId="175" fontId="9" fillId="56" borderId="6" xfId="0" applyNumberFormat="1" applyFont="1" applyFill="1" applyBorder="1" applyAlignment="1">
      <alignment horizontal="center" vertical="center" wrapText="1"/>
    </xf>
    <xf numFmtId="188" fontId="9" fillId="30" borderId="6" xfId="5" applyNumberFormat="1" applyFont="1" applyFill="1" applyBorder="1" applyAlignment="1">
      <alignment vertical="center" wrapText="1"/>
    </xf>
    <xf numFmtId="165" fontId="9" fillId="30" borderId="6" xfId="0" applyNumberFormat="1" applyFont="1" applyFill="1" applyBorder="1" applyAlignment="1">
      <alignment horizontal="center" vertical="center" wrapText="1"/>
    </xf>
    <xf numFmtId="0" fontId="9" fillId="81" borderId="6" xfId="0" applyFont="1" applyFill="1" applyBorder="1" applyAlignment="1">
      <alignment horizontal="center" vertical="center" wrapText="1"/>
    </xf>
    <xf numFmtId="165" fontId="9" fillId="81" borderId="6" xfId="0" applyNumberFormat="1" applyFont="1" applyFill="1" applyBorder="1" applyAlignment="1">
      <alignment horizontal="center" vertical="center" wrapText="1"/>
    </xf>
    <xf numFmtId="0" fontId="9" fillId="20" borderId="19" xfId="0" applyFont="1" applyFill="1" applyBorder="1" applyAlignment="1">
      <alignment horizontal="center" vertical="center" wrapText="1"/>
    </xf>
    <xf numFmtId="180" fontId="9" fillId="61" borderId="19" xfId="0" applyNumberFormat="1" applyFont="1" applyFill="1" applyBorder="1" applyAlignment="1">
      <alignment horizontal="center" vertical="center" wrapText="1"/>
    </xf>
    <xf numFmtId="165" fontId="9" fillId="61" borderId="19" xfId="0" applyNumberFormat="1" applyFont="1" applyFill="1" applyBorder="1" applyAlignment="1">
      <alignment horizontal="center" vertical="center" wrapText="1"/>
    </xf>
    <xf numFmtId="175" fontId="9" fillId="56" borderId="19" xfId="0" applyNumberFormat="1" applyFont="1" applyFill="1" applyBorder="1" applyAlignment="1">
      <alignment horizontal="center" vertical="center" wrapText="1"/>
    </xf>
    <xf numFmtId="188" fontId="9" fillId="30" borderId="19" xfId="5" applyNumberFormat="1" applyFont="1" applyFill="1" applyBorder="1" applyAlignment="1">
      <alignment vertical="center" wrapText="1"/>
    </xf>
    <xf numFmtId="165" fontId="9" fillId="30" borderId="19" xfId="0" applyNumberFormat="1" applyFont="1" applyFill="1" applyBorder="1" applyAlignment="1">
      <alignment horizontal="center" vertical="center" wrapText="1"/>
    </xf>
    <xf numFmtId="0" fontId="9" fillId="81" borderId="19" xfId="0" applyFont="1" applyFill="1" applyBorder="1" applyAlignment="1">
      <alignment horizontal="center" vertical="center" wrapText="1"/>
    </xf>
    <xf numFmtId="165" fontId="9" fillId="81" borderId="19" xfId="0" applyNumberFormat="1" applyFont="1" applyFill="1" applyBorder="1" applyAlignment="1">
      <alignment horizontal="center" vertical="center" wrapText="1"/>
    </xf>
    <xf numFmtId="0" fontId="9" fillId="61" borderId="15" xfId="0" applyFont="1" applyFill="1" applyBorder="1" applyAlignment="1">
      <alignment horizontal="center" vertical="center" wrapText="1"/>
    </xf>
    <xf numFmtId="180" fontId="9" fillId="19" borderId="1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1" fontId="9" fillId="15" borderId="6" xfId="0" applyNumberFormat="1" applyFont="1" applyFill="1" applyBorder="1" applyAlignment="1">
      <alignment horizontal="center" vertical="center" wrapText="1"/>
    </xf>
    <xf numFmtId="0" fontId="9" fillId="61" borderId="6" xfId="0" applyFont="1" applyFill="1" applyBorder="1" applyAlignment="1">
      <alignment horizontal="center" vertical="center" wrapText="1"/>
    </xf>
    <xf numFmtId="180" fontId="9" fillId="19" borderId="6" xfId="0" applyNumberFormat="1" applyFont="1" applyFill="1" applyBorder="1" applyAlignment="1">
      <alignment horizontal="center" vertical="center" wrapText="1"/>
    </xf>
    <xf numFmtId="1" fontId="9" fillId="15" borderId="19" xfId="0" applyNumberFormat="1" applyFont="1" applyFill="1" applyBorder="1" applyAlignment="1">
      <alignment horizontal="center" vertical="center" wrapText="1"/>
    </xf>
    <xf numFmtId="0" fontId="9" fillId="61" borderId="19" xfId="0" applyFont="1" applyFill="1" applyBorder="1" applyAlignment="1">
      <alignment horizontal="center" vertical="center" wrapText="1"/>
    </xf>
    <xf numFmtId="180" fontId="9" fillId="19" borderId="19" xfId="0" applyNumberFormat="1" applyFont="1" applyFill="1" applyBorder="1" applyAlignment="1">
      <alignment horizontal="center" vertical="center" wrapText="1"/>
    </xf>
    <xf numFmtId="2" fontId="9" fillId="80" borderId="15" xfId="0" applyNumberFormat="1" applyFont="1" applyFill="1" applyBorder="1" applyAlignment="1">
      <alignment horizontal="center" vertical="center" wrapText="1"/>
    </xf>
    <xf numFmtId="169" fontId="9" fillId="18" borderId="15" xfId="0" applyNumberFormat="1" applyFont="1" applyFill="1" applyBorder="1" applyAlignment="1">
      <alignment horizontal="center" vertical="center" wrapText="1"/>
    </xf>
    <xf numFmtId="1" fontId="9" fillId="85" borderId="6" xfId="0" applyNumberFormat="1" applyFont="1" applyFill="1" applyBorder="1" applyAlignment="1">
      <alignment horizontal="center" vertical="center" wrapText="1"/>
    </xf>
    <xf numFmtId="1" fontId="9" fillId="60" borderId="6" xfId="0" applyNumberFormat="1" applyFont="1" applyFill="1" applyBorder="1" applyAlignment="1">
      <alignment horizontal="center" vertical="center" wrapText="1"/>
    </xf>
    <xf numFmtId="169" fontId="9" fillId="80" borderId="6" xfId="0" applyNumberFormat="1" applyFont="1" applyFill="1" applyBorder="1" applyAlignment="1">
      <alignment horizontal="center" vertical="center" wrapText="1"/>
    </xf>
    <xf numFmtId="169" fontId="9" fillId="18" borderId="6" xfId="0" applyNumberFormat="1" applyFont="1" applyFill="1" applyBorder="1" applyAlignment="1">
      <alignment horizontal="center" vertical="center" wrapText="1"/>
    </xf>
    <xf numFmtId="1" fontId="9" fillId="85" borderId="19" xfId="0" applyNumberFormat="1" applyFont="1" applyFill="1" applyBorder="1" applyAlignment="1">
      <alignment horizontal="center" vertical="center" wrapText="1"/>
    </xf>
    <xf numFmtId="1" fontId="9" fillId="60" borderId="19" xfId="0" applyNumberFormat="1" applyFont="1" applyFill="1" applyBorder="1" applyAlignment="1">
      <alignment horizontal="center" vertical="center" wrapText="1"/>
    </xf>
    <xf numFmtId="169" fontId="9" fillId="80" borderId="19" xfId="0" applyNumberFormat="1" applyFont="1" applyFill="1" applyBorder="1" applyAlignment="1">
      <alignment horizontal="center" vertical="center" wrapText="1"/>
    </xf>
    <xf numFmtId="169" fontId="9" fillId="18" borderId="19" xfId="0" applyNumberFormat="1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164" fontId="9" fillId="30" borderId="15" xfId="5" applyFont="1" applyFill="1" applyBorder="1" applyAlignment="1">
      <alignment vertical="center" wrapText="1"/>
    </xf>
    <xf numFmtId="164" fontId="9" fillId="30" borderId="6" xfId="5" applyFont="1" applyFill="1" applyBorder="1" applyAlignment="1">
      <alignment vertical="center" wrapText="1"/>
    </xf>
    <xf numFmtId="165" fontId="9" fillId="45" borderId="5" xfId="0" applyNumberFormat="1" applyFont="1" applyFill="1" applyBorder="1" applyAlignment="1">
      <alignment horizontal="left" vertical="center" wrapText="1"/>
    </xf>
    <xf numFmtId="170" fontId="2" fillId="22" borderId="36" xfId="0" applyNumberFormat="1" applyFont="1" applyFill="1" applyBorder="1" applyAlignment="1">
      <alignment horizontal="center" vertical="center" wrapText="1"/>
    </xf>
    <xf numFmtId="166" fontId="9" fillId="22" borderId="36" xfId="0" applyNumberFormat="1" applyFont="1" applyFill="1" applyBorder="1" applyAlignment="1">
      <alignment horizontal="center" vertical="center" wrapText="1"/>
    </xf>
    <xf numFmtId="0" fontId="9" fillId="73" borderId="41" xfId="0" applyFont="1" applyFill="1" applyBorder="1" applyAlignment="1">
      <alignment horizontal="center" vertical="center" wrapText="1"/>
    </xf>
    <xf numFmtId="170" fontId="2" fillId="9" borderId="72" xfId="0" applyNumberFormat="1" applyFont="1" applyFill="1" applyBorder="1" applyAlignment="1">
      <alignment horizontal="center" vertical="center" wrapText="1"/>
    </xf>
    <xf numFmtId="2" fontId="9" fillId="28" borderId="70" xfId="0" applyNumberFormat="1" applyFont="1" applyFill="1" applyBorder="1" applyAlignment="1">
      <alignment horizontal="center" vertical="center" wrapText="1"/>
    </xf>
    <xf numFmtId="165" fontId="9" fillId="28" borderId="76" xfId="0" applyNumberFormat="1" applyFont="1" applyFill="1" applyBorder="1" applyAlignment="1">
      <alignment horizontal="center" vertical="center" wrapText="1"/>
    </xf>
    <xf numFmtId="2" fontId="9" fillId="28" borderId="35" xfId="0" applyNumberFormat="1" applyFont="1" applyFill="1" applyBorder="1" applyAlignment="1">
      <alignment horizontal="center" vertical="center" wrapText="1"/>
    </xf>
    <xf numFmtId="170" fontId="2" fillId="9" borderId="34" xfId="0" applyNumberFormat="1" applyFont="1" applyFill="1" applyBorder="1" applyAlignment="1">
      <alignment horizontal="right" vertical="center" wrapText="1"/>
    </xf>
    <xf numFmtId="0" fontId="2" fillId="9" borderId="49" xfId="0" applyFont="1" applyFill="1" applyBorder="1" applyAlignment="1">
      <alignment horizontal="left"/>
    </xf>
    <xf numFmtId="167" fontId="2" fillId="9" borderId="49" xfId="0" applyNumberFormat="1" applyFont="1" applyFill="1" applyBorder="1" applyAlignment="1">
      <alignment horizontal="left"/>
    </xf>
    <xf numFmtId="0" fontId="2" fillId="22" borderId="49" xfId="0" applyFont="1" applyFill="1" applyBorder="1" applyAlignment="1">
      <alignment horizontal="right" vertical="center"/>
    </xf>
    <xf numFmtId="167" fontId="9" fillId="0" borderId="47" xfId="0" applyNumberFormat="1" applyFont="1" applyBorder="1"/>
    <xf numFmtId="167" fontId="9" fillId="0" borderId="61" xfId="0" applyNumberFormat="1" applyFont="1" applyBorder="1"/>
    <xf numFmtId="0" fontId="9" fillId="0" borderId="61" xfId="0" applyFont="1" applyBorder="1"/>
    <xf numFmtId="0" fontId="9" fillId="0" borderId="58" xfId="0" applyFont="1" applyBorder="1"/>
    <xf numFmtId="10" fontId="9" fillId="12" borderId="26" xfId="1" applyNumberFormat="1" applyFont="1" applyFill="1" applyBorder="1" applyAlignment="1">
      <alignment horizontal="center" vertical="center" wrapText="1"/>
    </xf>
    <xf numFmtId="10" fontId="9" fillId="12" borderId="16" xfId="1" applyNumberFormat="1" applyFont="1" applyFill="1" applyBorder="1" applyAlignment="1">
      <alignment horizontal="center" vertical="center" wrapText="1"/>
    </xf>
    <xf numFmtId="10" fontId="9" fillId="12" borderId="15" xfId="1" applyNumberFormat="1" applyFont="1" applyFill="1" applyBorder="1" applyAlignment="1">
      <alignment horizontal="center" vertical="center" wrapText="1"/>
    </xf>
    <xf numFmtId="165" fontId="9" fillId="12" borderId="16" xfId="0" applyNumberFormat="1" applyFont="1" applyFill="1" applyBorder="1" applyAlignment="1">
      <alignment horizontal="center" vertical="center" wrapText="1"/>
    </xf>
    <xf numFmtId="10" fontId="9" fillId="11" borderId="15" xfId="0" applyNumberFormat="1" applyFont="1" applyFill="1" applyBorder="1" applyAlignment="1">
      <alignment horizontal="center" vertical="center" wrapText="1"/>
    </xf>
    <xf numFmtId="10" fontId="9" fillId="13" borderId="15" xfId="0" applyNumberFormat="1" applyFont="1" applyFill="1" applyBorder="1" applyAlignment="1">
      <alignment horizontal="center" vertical="center" wrapText="1"/>
    </xf>
    <xf numFmtId="10" fontId="9" fillId="14" borderId="15" xfId="0" applyNumberFormat="1" applyFont="1" applyFill="1" applyBorder="1" applyAlignment="1">
      <alignment horizontal="center" vertical="center" wrapText="1"/>
    </xf>
    <xf numFmtId="10" fontId="9" fillId="14" borderId="15" xfId="1" applyNumberFormat="1" applyFont="1" applyFill="1" applyBorder="1" applyAlignment="1">
      <alignment horizontal="center" vertical="center" wrapText="1"/>
    </xf>
    <xf numFmtId="0" fontId="9" fillId="42" borderId="83" xfId="0" applyFont="1" applyFill="1" applyBorder="1" applyAlignment="1">
      <alignment vertical="center" wrapText="1"/>
    </xf>
    <xf numFmtId="167" fontId="9" fillId="68" borderId="14" xfId="0" applyNumberFormat="1" applyFont="1" applyFill="1" applyBorder="1" applyAlignment="1">
      <alignment horizontal="center" vertical="center" wrapText="1"/>
    </xf>
    <xf numFmtId="10" fontId="9" fillId="68" borderId="15" xfId="1" applyNumberFormat="1" applyFont="1" applyFill="1" applyBorder="1" applyAlignment="1">
      <alignment horizontal="center" vertical="center" wrapText="1"/>
    </xf>
    <xf numFmtId="170" fontId="9" fillId="85" borderId="14" xfId="0" applyNumberFormat="1" applyFont="1" applyFill="1" applyBorder="1" applyAlignment="1">
      <alignment horizontal="center" vertical="center" wrapText="1"/>
    </xf>
    <xf numFmtId="10" fontId="9" fillId="85" borderId="15" xfId="1" applyNumberFormat="1" applyFont="1" applyFill="1" applyBorder="1" applyAlignment="1">
      <alignment horizontal="center" vertical="center" wrapText="1"/>
    </xf>
    <xf numFmtId="0" fontId="9" fillId="85" borderId="16" xfId="0" applyFont="1" applyFill="1" applyBorder="1" applyAlignment="1">
      <alignment horizontal="center" vertical="center" wrapText="1"/>
    </xf>
    <xf numFmtId="167" fontId="9" fillId="60" borderId="14" xfId="0" applyNumberFormat="1" applyFont="1" applyFill="1" applyBorder="1" applyAlignment="1">
      <alignment horizontal="center" vertical="center" wrapText="1"/>
    </xf>
    <xf numFmtId="10" fontId="9" fillId="60" borderId="15" xfId="1" applyNumberFormat="1" applyFont="1" applyFill="1" applyBorder="1" applyAlignment="1">
      <alignment horizontal="center" vertical="center" wrapText="1"/>
    </xf>
    <xf numFmtId="165" fontId="9" fillId="60" borderId="16" xfId="0" applyNumberFormat="1" applyFont="1" applyFill="1" applyBorder="1" applyAlignment="1">
      <alignment horizontal="center" vertical="center" wrapText="1"/>
    </xf>
    <xf numFmtId="167" fontId="9" fillId="56" borderId="14" xfId="0" applyNumberFormat="1" applyFont="1" applyFill="1" applyBorder="1" applyAlignment="1">
      <alignment horizontal="center" vertical="center" wrapText="1"/>
    </xf>
    <xf numFmtId="10" fontId="9" fillId="56" borderId="15" xfId="1" applyNumberFormat="1" applyFont="1" applyFill="1" applyBorder="1" applyAlignment="1">
      <alignment horizontal="center" vertical="center" wrapText="1"/>
    </xf>
    <xf numFmtId="165" fontId="9" fillId="56" borderId="16" xfId="0" applyNumberFormat="1" applyFont="1" applyFill="1" applyBorder="1" applyAlignment="1">
      <alignment horizontal="center" vertical="center" wrapText="1"/>
    </xf>
    <xf numFmtId="167" fontId="9" fillId="29" borderId="14" xfId="0" applyNumberFormat="1" applyFont="1" applyFill="1" applyBorder="1" applyAlignment="1">
      <alignment horizontal="center" vertical="center" wrapText="1"/>
    </xf>
    <xf numFmtId="10" fontId="9" fillId="29" borderId="15" xfId="1" applyNumberFormat="1" applyFont="1" applyFill="1" applyBorder="1" applyAlignment="1">
      <alignment horizontal="center" vertical="center" wrapText="1"/>
    </xf>
    <xf numFmtId="0" fontId="9" fillId="29" borderId="16" xfId="0" applyFont="1" applyFill="1" applyBorder="1" applyAlignment="1">
      <alignment horizontal="center" vertical="center" wrapText="1"/>
    </xf>
    <xf numFmtId="167" fontId="9" fillId="80" borderId="14" xfId="0" applyNumberFormat="1" applyFont="1" applyFill="1" applyBorder="1" applyAlignment="1">
      <alignment horizontal="center" vertical="center" wrapText="1"/>
    </xf>
    <xf numFmtId="10" fontId="9" fillId="80" borderId="15" xfId="1" applyNumberFormat="1" applyFont="1" applyFill="1" applyBorder="1" applyAlignment="1">
      <alignment horizontal="center" vertical="center" wrapText="1"/>
    </xf>
    <xf numFmtId="0" fontId="9" fillId="80" borderId="16" xfId="0" applyFont="1" applyFill="1" applyBorder="1" applyAlignment="1">
      <alignment horizontal="center" vertical="center" wrapText="1"/>
    </xf>
    <xf numFmtId="167" fontId="9" fillId="16" borderId="14" xfId="0" applyNumberFormat="1" applyFont="1" applyFill="1" applyBorder="1" applyAlignment="1">
      <alignment horizontal="center" vertical="center" wrapText="1"/>
    </xf>
    <xf numFmtId="165" fontId="9" fillId="45" borderId="46" xfId="0" applyNumberFormat="1" applyFont="1" applyFill="1" applyBorder="1" applyAlignment="1">
      <alignment horizontal="left" vertical="center" wrapText="1"/>
    </xf>
    <xf numFmtId="165" fontId="9" fillId="17" borderId="16" xfId="0" applyNumberFormat="1" applyFont="1" applyFill="1" applyBorder="1" applyAlignment="1">
      <alignment horizontal="center" vertical="center" wrapText="1"/>
    </xf>
    <xf numFmtId="167" fontId="9" fillId="18" borderId="72" xfId="0" applyNumberFormat="1" applyFont="1" applyFill="1" applyBorder="1" applyAlignment="1">
      <alignment horizontal="center" vertical="center" wrapText="1"/>
    </xf>
    <xf numFmtId="2" fontId="9" fillId="18" borderId="70" xfId="0" applyNumberFormat="1" applyFont="1" applyFill="1" applyBorder="1" applyAlignment="1">
      <alignment horizontal="center" vertical="center" wrapText="1"/>
    </xf>
    <xf numFmtId="165" fontId="9" fillId="18" borderId="76" xfId="0" applyNumberFormat="1" applyFont="1" applyFill="1" applyBorder="1" applyAlignment="1">
      <alignment horizontal="center" vertical="center" wrapText="1"/>
    </xf>
    <xf numFmtId="165" fontId="9" fillId="18" borderId="52" xfId="0" applyNumberFormat="1" applyFont="1" applyFill="1" applyBorder="1" applyAlignment="1">
      <alignment horizontal="center" vertical="center" wrapText="1"/>
    </xf>
    <xf numFmtId="167" fontId="9" fillId="18" borderId="14" xfId="0" applyNumberFormat="1" applyFont="1" applyFill="1" applyBorder="1" applyAlignment="1">
      <alignment horizontal="center" vertical="center" wrapText="1"/>
    </xf>
    <xf numFmtId="10" fontId="9" fillId="18" borderId="15" xfId="1" applyNumberFormat="1" applyFont="1" applyFill="1" applyBorder="1" applyAlignment="1">
      <alignment horizontal="center" vertical="center" wrapText="1"/>
    </xf>
    <xf numFmtId="165" fontId="9" fillId="18" borderId="16" xfId="0" applyNumberFormat="1" applyFont="1" applyFill="1" applyBorder="1" applyAlignment="1">
      <alignment horizontal="center" vertical="center" wrapText="1"/>
    </xf>
    <xf numFmtId="167" fontId="9" fillId="19" borderId="14" xfId="0" applyNumberFormat="1" applyFont="1" applyFill="1" applyBorder="1" applyAlignment="1">
      <alignment horizontal="center" vertical="center" wrapText="1"/>
    </xf>
    <xf numFmtId="10" fontId="9" fillId="19" borderId="15" xfId="1" applyNumberFormat="1" applyFont="1" applyFill="1" applyBorder="1" applyAlignment="1">
      <alignment horizontal="center" vertical="center" wrapText="1"/>
    </xf>
    <xf numFmtId="165" fontId="9" fillId="19" borderId="16" xfId="0" applyNumberFormat="1" applyFont="1" applyFill="1" applyBorder="1" applyAlignment="1">
      <alignment horizontal="center" vertical="center" wrapText="1"/>
    </xf>
    <xf numFmtId="167" fontId="9" fillId="52" borderId="14" xfId="0" applyNumberFormat="1" applyFont="1" applyFill="1" applyBorder="1" applyAlignment="1">
      <alignment horizontal="center" vertical="center" wrapText="1"/>
    </xf>
    <xf numFmtId="10" fontId="9" fillId="36" borderId="15" xfId="1" applyNumberFormat="1" applyFont="1" applyFill="1" applyBorder="1" applyAlignment="1">
      <alignment horizontal="center" vertical="center" wrapText="1"/>
    </xf>
    <xf numFmtId="170" fontId="9" fillId="79" borderId="14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/>
    </xf>
    <xf numFmtId="167" fontId="9" fillId="6" borderId="10" xfId="0" applyNumberFormat="1" applyFont="1" applyFill="1" applyBorder="1" applyAlignment="1">
      <alignment horizontal="left"/>
    </xf>
    <xf numFmtId="0" fontId="9" fillId="6" borderId="13" xfId="0" applyFont="1" applyFill="1" applyBorder="1" applyAlignment="1">
      <alignment horizontal="right" vertical="center"/>
    </xf>
    <xf numFmtId="10" fontId="9" fillId="12" borderId="29" xfId="1" applyNumberFormat="1" applyFont="1" applyFill="1" applyBorder="1" applyAlignment="1">
      <alignment horizontal="center" vertical="center" wrapText="1"/>
    </xf>
    <xf numFmtId="10" fontId="9" fillId="12" borderId="22" xfId="1" applyNumberFormat="1" applyFont="1" applyFill="1" applyBorder="1" applyAlignment="1">
      <alignment horizontal="center" vertical="center" wrapText="1"/>
    </xf>
    <xf numFmtId="10" fontId="9" fillId="12" borderId="6" xfId="1" applyNumberFormat="1" applyFont="1" applyFill="1" applyBorder="1" applyAlignment="1">
      <alignment horizontal="center" vertical="center" wrapText="1"/>
    </xf>
    <xf numFmtId="165" fontId="9" fillId="12" borderId="22" xfId="0" applyNumberFormat="1" applyFont="1" applyFill="1" applyBorder="1" applyAlignment="1">
      <alignment horizontal="center" vertical="center" wrapText="1"/>
    </xf>
    <xf numFmtId="10" fontId="9" fillId="11" borderId="6" xfId="0" applyNumberFormat="1" applyFont="1" applyFill="1" applyBorder="1" applyAlignment="1">
      <alignment horizontal="center" vertical="center" wrapText="1"/>
    </xf>
    <xf numFmtId="10" fontId="9" fillId="13" borderId="6" xfId="0" applyNumberFormat="1" applyFont="1" applyFill="1" applyBorder="1" applyAlignment="1">
      <alignment horizontal="center" vertical="center" wrapText="1"/>
    </xf>
    <xf numFmtId="10" fontId="9" fillId="14" borderId="6" xfId="0" applyNumberFormat="1" applyFont="1" applyFill="1" applyBorder="1" applyAlignment="1">
      <alignment horizontal="center" vertical="center" wrapText="1"/>
    </xf>
    <xf numFmtId="10" fontId="9" fillId="14" borderId="6" xfId="1" applyNumberFormat="1" applyFont="1" applyFill="1" applyBorder="1" applyAlignment="1">
      <alignment horizontal="center" vertical="center" wrapText="1"/>
    </xf>
    <xf numFmtId="167" fontId="9" fillId="68" borderId="21" xfId="0" applyNumberFormat="1" applyFont="1" applyFill="1" applyBorder="1" applyAlignment="1">
      <alignment horizontal="center" vertical="center" wrapText="1"/>
    </xf>
    <xf numFmtId="10" fontId="9" fillId="68" borderId="6" xfId="1" applyNumberFormat="1" applyFont="1" applyFill="1" applyBorder="1" applyAlignment="1">
      <alignment horizontal="center" vertical="center" wrapText="1"/>
    </xf>
    <xf numFmtId="170" fontId="9" fillId="85" borderId="21" xfId="0" applyNumberFormat="1" applyFont="1" applyFill="1" applyBorder="1" applyAlignment="1">
      <alignment horizontal="center" vertical="center" wrapText="1"/>
    </xf>
    <xf numFmtId="10" fontId="9" fillId="85" borderId="6" xfId="1" applyNumberFormat="1" applyFont="1" applyFill="1" applyBorder="1" applyAlignment="1">
      <alignment horizontal="center" vertical="center" wrapText="1"/>
    </xf>
    <xf numFmtId="0" fontId="9" fillId="85" borderId="22" xfId="0" applyFont="1" applyFill="1" applyBorder="1" applyAlignment="1">
      <alignment horizontal="center" vertical="center" wrapText="1"/>
    </xf>
    <xf numFmtId="167" fontId="9" fillId="60" borderId="21" xfId="0" applyNumberFormat="1" applyFont="1" applyFill="1" applyBorder="1" applyAlignment="1">
      <alignment horizontal="center" vertical="center" wrapText="1"/>
    </xf>
    <xf numFmtId="10" fontId="9" fillId="60" borderId="6" xfId="1" applyNumberFormat="1" applyFont="1" applyFill="1" applyBorder="1" applyAlignment="1">
      <alignment horizontal="center" vertical="center" wrapText="1"/>
    </xf>
    <xf numFmtId="165" fontId="9" fillId="60" borderId="22" xfId="0" applyNumberFormat="1" applyFont="1" applyFill="1" applyBorder="1" applyAlignment="1">
      <alignment horizontal="center" vertical="center" wrapText="1"/>
    </xf>
    <xf numFmtId="167" fontId="9" fillId="56" borderId="21" xfId="0" applyNumberFormat="1" applyFont="1" applyFill="1" applyBorder="1" applyAlignment="1">
      <alignment horizontal="center" vertical="center" wrapText="1"/>
    </xf>
    <xf numFmtId="10" fontId="9" fillId="56" borderId="6" xfId="1" applyNumberFormat="1" applyFont="1" applyFill="1" applyBorder="1" applyAlignment="1">
      <alignment horizontal="center" vertical="center" wrapText="1"/>
    </xf>
    <xf numFmtId="165" fontId="9" fillId="56" borderId="22" xfId="0" applyNumberFormat="1" applyFont="1" applyFill="1" applyBorder="1" applyAlignment="1">
      <alignment horizontal="center" vertical="center" wrapText="1"/>
    </xf>
    <xf numFmtId="167" fontId="9" fillId="29" borderId="21" xfId="0" applyNumberFormat="1" applyFont="1" applyFill="1" applyBorder="1" applyAlignment="1">
      <alignment horizontal="center" vertical="center" wrapText="1"/>
    </xf>
    <xf numFmtId="10" fontId="9" fillId="29" borderId="6" xfId="1" applyNumberFormat="1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167" fontId="9" fillId="80" borderId="21" xfId="0" applyNumberFormat="1" applyFont="1" applyFill="1" applyBorder="1" applyAlignment="1">
      <alignment horizontal="center" vertical="center" wrapText="1"/>
    </xf>
    <xf numFmtId="10" fontId="9" fillId="80" borderId="6" xfId="1" applyNumberFormat="1" applyFont="1" applyFill="1" applyBorder="1" applyAlignment="1">
      <alignment horizontal="center" vertical="center" wrapText="1"/>
    </xf>
    <xf numFmtId="0" fontId="9" fillId="80" borderId="22" xfId="0" applyFont="1" applyFill="1" applyBorder="1" applyAlignment="1">
      <alignment horizontal="center" vertical="center" wrapText="1"/>
    </xf>
    <xf numFmtId="167" fontId="9" fillId="16" borderId="21" xfId="0" applyNumberFormat="1" applyFont="1" applyFill="1" applyBorder="1" applyAlignment="1">
      <alignment horizontal="center" vertical="center" wrapText="1"/>
    </xf>
    <xf numFmtId="167" fontId="9" fillId="18" borderId="28" xfId="0" applyNumberFormat="1" applyFont="1" applyFill="1" applyBorder="1" applyAlignment="1">
      <alignment horizontal="center" vertical="center" wrapText="1"/>
    </xf>
    <xf numFmtId="165" fontId="9" fillId="18" borderId="29" xfId="0" applyNumberFormat="1" applyFont="1" applyFill="1" applyBorder="1" applyAlignment="1">
      <alignment horizontal="center" vertical="center" wrapText="1"/>
    </xf>
    <xf numFmtId="165" fontId="9" fillId="18" borderId="56" xfId="0" applyNumberFormat="1" applyFont="1" applyFill="1" applyBorder="1" applyAlignment="1">
      <alignment horizontal="center" vertical="center" wrapText="1"/>
    </xf>
    <xf numFmtId="167" fontId="9" fillId="18" borderId="21" xfId="0" applyNumberFormat="1" applyFont="1" applyFill="1" applyBorder="1" applyAlignment="1">
      <alignment horizontal="center" vertical="center" wrapText="1"/>
    </xf>
    <xf numFmtId="10" fontId="9" fillId="18" borderId="6" xfId="1" applyNumberFormat="1" applyFont="1" applyFill="1" applyBorder="1" applyAlignment="1">
      <alignment horizontal="center" vertical="center" wrapText="1"/>
    </xf>
    <xf numFmtId="165" fontId="9" fillId="18" borderId="22" xfId="0" applyNumberFormat="1" applyFont="1" applyFill="1" applyBorder="1" applyAlignment="1">
      <alignment horizontal="center" vertical="center" wrapText="1"/>
    </xf>
    <xf numFmtId="167" fontId="9" fillId="19" borderId="21" xfId="0" applyNumberFormat="1" applyFont="1" applyFill="1" applyBorder="1" applyAlignment="1">
      <alignment horizontal="center" vertical="center" wrapText="1"/>
    </xf>
    <xf numFmtId="10" fontId="9" fillId="19" borderId="6" xfId="1" applyNumberFormat="1" applyFont="1" applyFill="1" applyBorder="1" applyAlignment="1">
      <alignment horizontal="center" vertical="center" wrapText="1"/>
    </xf>
    <xf numFmtId="165" fontId="9" fillId="19" borderId="22" xfId="0" applyNumberFormat="1" applyFont="1" applyFill="1" applyBorder="1" applyAlignment="1">
      <alignment horizontal="center" vertical="center" wrapText="1"/>
    </xf>
    <xf numFmtId="167" fontId="9" fillId="36" borderId="21" xfId="0" applyNumberFormat="1" applyFont="1" applyFill="1" applyBorder="1" applyAlignment="1">
      <alignment horizontal="center" vertical="center" wrapText="1"/>
    </xf>
    <xf numFmtId="10" fontId="9" fillId="36" borderId="6" xfId="0" applyNumberFormat="1" applyFont="1" applyFill="1" applyBorder="1" applyAlignment="1">
      <alignment horizontal="center" vertical="center" wrapText="1"/>
    </xf>
    <xf numFmtId="170" fontId="9" fillId="79" borderId="21" xfId="0" applyNumberFormat="1" applyFont="1" applyFill="1" applyBorder="1" applyAlignment="1">
      <alignment horizontal="right" vertical="center" wrapText="1"/>
    </xf>
    <xf numFmtId="0" fontId="9" fillId="6" borderId="17" xfId="0" applyFont="1" applyFill="1" applyBorder="1" applyAlignment="1">
      <alignment horizontal="right" vertical="center"/>
    </xf>
    <xf numFmtId="167" fontId="9" fillId="8" borderId="21" xfId="0" applyNumberFormat="1" applyFont="1" applyFill="1" applyBorder="1" applyAlignment="1">
      <alignment horizontal="center" vertical="center" wrapText="1"/>
    </xf>
    <xf numFmtId="10" fontId="9" fillId="8" borderId="6" xfId="0" applyNumberFormat="1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10" fontId="9" fillId="12" borderId="93" xfId="1" applyNumberFormat="1" applyFont="1" applyFill="1" applyBorder="1" applyAlignment="1">
      <alignment horizontal="center" vertical="center" wrapText="1"/>
    </xf>
    <xf numFmtId="10" fontId="9" fillId="12" borderId="20" xfId="1" applyNumberFormat="1" applyFont="1" applyFill="1" applyBorder="1" applyAlignment="1">
      <alignment horizontal="center" vertical="center" wrapText="1"/>
    </xf>
    <xf numFmtId="10" fontId="9" fillId="12" borderId="19" xfId="1" applyNumberFormat="1" applyFont="1" applyFill="1" applyBorder="1" applyAlignment="1">
      <alignment horizontal="center" vertical="center" wrapText="1"/>
    </xf>
    <xf numFmtId="165" fontId="9" fillId="12" borderId="20" xfId="0" applyNumberFormat="1" applyFont="1" applyFill="1" applyBorder="1" applyAlignment="1">
      <alignment horizontal="center" vertical="center" wrapText="1"/>
    </xf>
    <xf numFmtId="10" fontId="9" fillId="11" borderId="19" xfId="0" applyNumberFormat="1" applyFont="1" applyFill="1" applyBorder="1" applyAlignment="1">
      <alignment horizontal="center" vertical="center" wrapText="1"/>
    </xf>
    <xf numFmtId="10" fontId="9" fillId="13" borderId="19" xfId="0" applyNumberFormat="1" applyFont="1" applyFill="1" applyBorder="1" applyAlignment="1">
      <alignment horizontal="center" vertical="center" wrapText="1"/>
    </xf>
    <xf numFmtId="10" fontId="9" fillId="14" borderId="19" xfId="0" applyNumberFormat="1" applyFont="1" applyFill="1" applyBorder="1" applyAlignment="1">
      <alignment horizontal="center" vertical="center" wrapText="1"/>
    </xf>
    <xf numFmtId="10" fontId="9" fillId="14" borderId="19" xfId="1" applyNumberFormat="1" applyFont="1" applyFill="1" applyBorder="1" applyAlignment="1">
      <alignment horizontal="center" vertical="center" wrapText="1"/>
    </xf>
    <xf numFmtId="0" fontId="9" fillId="42" borderId="60" xfId="0" applyFont="1" applyFill="1" applyBorder="1" applyAlignment="1">
      <alignment vertical="center" wrapText="1"/>
    </xf>
    <xf numFmtId="167" fontId="9" fillId="68" borderId="18" xfId="0" applyNumberFormat="1" applyFont="1" applyFill="1" applyBorder="1" applyAlignment="1">
      <alignment horizontal="center" vertical="center" wrapText="1"/>
    </xf>
    <xf numFmtId="10" fontId="9" fillId="68" borderId="19" xfId="1" applyNumberFormat="1" applyFont="1" applyFill="1" applyBorder="1" applyAlignment="1">
      <alignment horizontal="center" vertical="center" wrapText="1"/>
    </xf>
    <xf numFmtId="170" fontId="9" fillId="85" borderId="18" xfId="0" applyNumberFormat="1" applyFont="1" applyFill="1" applyBorder="1" applyAlignment="1">
      <alignment horizontal="center" vertical="center" wrapText="1"/>
    </xf>
    <xf numFmtId="10" fontId="9" fillId="85" borderId="19" xfId="1" applyNumberFormat="1" applyFont="1" applyFill="1" applyBorder="1" applyAlignment="1">
      <alignment horizontal="center" vertical="center" wrapText="1"/>
    </xf>
    <xf numFmtId="0" fontId="9" fillId="85" borderId="20" xfId="0" applyFont="1" applyFill="1" applyBorder="1" applyAlignment="1">
      <alignment horizontal="center" vertical="center" wrapText="1"/>
    </xf>
    <xf numFmtId="167" fontId="9" fillId="60" borderId="18" xfId="0" applyNumberFormat="1" applyFont="1" applyFill="1" applyBorder="1" applyAlignment="1">
      <alignment horizontal="center" vertical="center" wrapText="1"/>
    </xf>
    <xf numFmtId="10" fontId="9" fillId="60" borderId="19" xfId="1" applyNumberFormat="1" applyFont="1" applyFill="1" applyBorder="1" applyAlignment="1">
      <alignment horizontal="center" vertical="center" wrapText="1"/>
    </xf>
    <xf numFmtId="165" fontId="9" fillId="60" borderId="20" xfId="0" applyNumberFormat="1" applyFont="1" applyFill="1" applyBorder="1" applyAlignment="1">
      <alignment horizontal="center" vertical="center" wrapText="1"/>
    </xf>
    <xf numFmtId="167" fontId="9" fillId="56" borderId="18" xfId="0" applyNumberFormat="1" applyFont="1" applyFill="1" applyBorder="1" applyAlignment="1">
      <alignment horizontal="center" vertical="center" wrapText="1"/>
    </xf>
    <xf numFmtId="10" fontId="9" fillId="56" borderId="19" xfId="1" applyNumberFormat="1" applyFont="1" applyFill="1" applyBorder="1" applyAlignment="1">
      <alignment horizontal="center" vertical="center" wrapText="1"/>
    </xf>
    <xf numFmtId="165" fontId="9" fillId="56" borderId="20" xfId="0" applyNumberFormat="1" applyFont="1" applyFill="1" applyBorder="1" applyAlignment="1">
      <alignment horizontal="center" vertical="center" wrapText="1"/>
    </xf>
    <xf numFmtId="167" fontId="9" fillId="29" borderId="18" xfId="0" applyNumberFormat="1" applyFont="1" applyFill="1" applyBorder="1" applyAlignment="1">
      <alignment horizontal="center" vertical="center" wrapText="1"/>
    </xf>
    <xf numFmtId="10" fontId="9" fillId="29" borderId="19" xfId="1" applyNumberFormat="1" applyFont="1" applyFill="1" applyBorder="1" applyAlignment="1">
      <alignment horizontal="center" vertical="center" wrapText="1"/>
    </xf>
    <xf numFmtId="0" fontId="9" fillId="29" borderId="20" xfId="0" applyFont="1" applyFill="1" applyBorder="1" applyAlignment="1">
      <alignment horizontal="center" vertical="center" wrapText="1"/>
    </xf>
    <xf numFmtId="167" fontId="9" fillId="80" borderId="18" xfId="0" applyNumberFormat="1" applyFont="1" applyFill="1" applyBorder="1" applyAlignment="1">
      <alignment horizontal="center" vertical="center" wrapText="1"/>
    </xf>
    <xf numFmtId="10" fontId="9" fillId="80" borderId="19" xfId="1" applyNumberFormat="1" applyFont="1" applyFill="1" applyBorder="1" applyAlignment="1">
      <alignment horizontal="center" vertical="center" wrapText="1"/>
    </xf>
    <xf numFmtId="0" fontId="9" fillId="80" borderId="20" xfId="0" applyFont="1" applyFill="1" applyBorder="1" applyAlignment="1">
      <alignment horizontal="center" vertical="center" wrapText="1"/>
    </xf>
    <xf numFmtId="167" fontId="9" fillId="16" borderId="18" xfId="0" applyNumberFormat="1" applyFont="1" applyFill="1" applyBorder="1" applyAlignment="1">
      <alignment horizontal="center" vertical="center" wrapText="1"/>
    </xf>
    <xf numFmtId="165" fontId="9" fillId="45" borderId="60" xfId="0" applyNumberFormat="1" applyFont="1" applyFill="1" applyBorder="1" applyAlignment="1">
      <alignment horizontal="left" vertical="center" wrapText="1"/>
    </xf>
    <xf numFmtId="167" fontId="9" fillId="18" borderId="44" xfId="0" applyNumberFormat="1" applyFont="1" applyFill="1" applyBorder="1" applyAlignment="1">
      <alignment horizontal="center" vertical="center" wrapText="1"/>
    </xf>
    <xf numFmtId="2" fontId="9" fillId="18" borderId="41" xfId="0" applyNumberFormat="1" applyFont="1" applyFill="1" applyBorder="1" applyAlignment="1">
      <alignment horizontal="center" vertical="center" wrapText="1"/>
    </xf>
    <xf numFmtId="165" fontId="9" fillId="18" borderId="45" xfId="0" applyNumberFormat="1" applyFont="1" applyFill="1" applyBorder="1" applyAlignment="1">
      <alignment horizontal="center" vertical="center" wrapText="1"/>
    </xf>
    <xf numFmtId="165" fontId="9" fillId="18" borderId="0" xfId="0" applyNumberFormat="1" applyFont="1" applyFill="1" applyBorder="1" applyAlignment="1">
      <alignment horizontal="center" vertical="center" wrapText="1"/>
    </xf>
    <xf numFmtId="167" fontId="9" fillId="18" borderId="18" xfId="0" applyNumberFormat="1" applyFont="1" applyFill="1" applyBorder="1" applyAlignment="1">
      <alignment horizontal="center" vertical="center" wrapText="1"/>
    </xf>
    <xf numFmtId="10" fontId="9" fillId="18" borderId="19" xfId="1" applyNumberFormat="1" applyFont="1" applyFill="1" applyBorder="1" applyAlignment="1">
      <alignment horizontal="center" vertical="center" wrapText="1"/>
    </xf>
    <xf numFmtId="165" fontId="9" fillId="18" borderId="20" xfId="0" applyNumberFormat="1" applyFont="1" applyFill="1" applyBorder="1" applyAlignment="1">
      <alignment horizontal="center" vertical="center" wrapText="1"/>
    </xf>
    <xf numFmtId="167" fontId="9" fillId="19" borderId="18" xfId="0" applyNumberFormat="1" applyFont="1" applyFill="1" applyBorder="1" applyAlignment="1">
      <alignment horizontal="center" vertical="center" wrapText="1"/>
    </xf>
    <xf numFmtId="10" fontId="9" fillId="19" borderId="19" xfId="1" applyNumberFormat="1" applyFont="1" applyFill="1" applyBorder="1" applyAlignment="1">
      <alignment horizontal="center" vertical="center" wrapText="1"/>
    </xf>
    <xf numFmtId="165" fontId="9" fillId="19" borderId="20" xfId="0" applyNumberFormat="1" applyFont="1" applyFill="1" applyBorder="1" applyAlignment="1">
      <alignment horizontal="center" vertical="center" wrapText="1"/>
    </xf>
    <xf numFmtId="167" fontId="9" fillId="36" borderId="32" xfId="0" applyNumberFormat="1" applyFont="1" applyFill="1" applyBorder="1" applyAlignment="1">
      <alignment horizontal="center" vertical="center" wrapText="1"/>
    </xf>
    <xf numFmtId="10" fontId="9" fillId="36" borderId="30" xfId="0" applyNumberFormat="1" applyFont="1" applyFill="1" applyBorder="1" applyAlignment="1">
      <alignment horizontal="center" vertical="center" wrapText="1"/>
    </xf>
    <xf numFmtId="170" fontId="9" fillId="79" borderId="18" xfId="0" applyNumberFormat="1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left"/>
    </xf>
    <xf numFmtId="0" fontId="84" fillId="22" borderId="38" xfId="0" applyFont="1" applyFill="1" applyBorder="1"/>
    <xf numFmtId="0" fontId="84" fillId="22" borderId="36" xfId="0" applyFont="1" applyFill="1" applyBorder="1"/>
    <xf numFmtId="0" fontId="25" fillId="22" borderId="36" xfId="0" applyFont="1" applyFill="1" applyBorder="1"/>
    <xf numFmtId="170" fontId="2" fillId="22" borderId="34" xfId="0" applyNumberFormat="1" applyFont="1" applyFill="1" applyBorder="1" applyAlignment="1">
      <alignment horizontal="center" vertical="center" wrapText="1"/>
    </xf>
    <xf numFmtId="0" fontId="84" fillId="22" borderId="35" xfId="0" applyFont="1" applyFill="1" applyBorder="1"/>
    <xf numFmtId="0" fontId="9" fillId="22" borderId="36" xfId="0" applyFont="1" applyFill="1" applyBorder="1" applyAlignment="1">
      <alignment horizontal="center" vertical="center" wrapText="1"/>
    </xf>
    <xf numFmtId="0" fontId="9" fillId="22" borderId="35" xfId="0" applyFont="1" applyFill="1" applyBorder="1"/>
    <xf numFmtId="170" fontId="2" fillId="23" borderId="34" xfId="0" applyNumberFormat="1" applyFont="1" applyFill="1" applyBorder="1" applyAlignment="1">
      <alignment horizontal="center" vertical="center" wrapText="1"/>
    </xf>
    <xf numFmtId="0" fontId="9" fillId="23" borderId="35" xfId="0" applyFont="1" applyFill="1" applyBorder="1" applyAlignment="1">
      <alignment horizontal="center" vertical="center" wrapText="1"/>
    </xf>
    <xf numFmtId="167" fontId="9" fillId="23" borderId="36" xfId="0" applyNumberFormat="1" applyFont="1" applyFill="1" applyBorder="1" applyAlignment="1">
      <alignment horizontal="center" vertical="center" wrapText="1"/>
    </xf>
    <xf numFmtId="167" fontId="2" fillId="73" borderId="65" xfId="0" applyNumberFormat="1" applyFont="1" applyFill="1" applyBorder="1" applyAlignment="1">
      <alignment horizontal="center" vertical="center" wrapText="1"/>
    </xf>
    <xf numFmtId="0" fontId="9" fillId="73" borderId="45" xfId="0" applyFont="1" applyFill="1" applyBorder="1" applyAlignment="1">
      <alignment horizontal="center" vertical="center" wrapText="1"/>
    </xf>
    <xf numFmtId="170" fontId="2" fillId="73" borderId="101" xfId="0" applyNumberFormat="1" applyFont="1" applyFill="1" applyBorder="1" applyAlignment="1">
      <alignment horizontal="center" vertical="center" wrapText="1"/>
    </xf>
    <xf numFmtId="0" fontId="9" fillId="73" borderId="102" xfId="0" applyFont="1" applyFill="1" applyBorder="1" applyAlignment="1">
      <alignment horizontal="center" vertical="center" wrapText="1"/>
    </xf>
    <xf numFmtId="0" fontId="9" fillId="73" borderId="103" xfId="0" applyFont="1" applyFill="1" applyBorder="1" applyAlignment="1">
      <alignment horizontal="center" vertical="center" wrapText="1"/>
    </xf>
    <xf numFmtId="0" fontId="9" fillId="73" borderId="66" xfId="0" applyFont="1" applyFill="1" applyBorder="1" applyAlignment="1">
      <alignment horizontal="center" vertical="center" wrapText="1"/>
    </xf>
    <xf numFmtId="167" fontId="2" fillId="73" borderId="44" xfId="0" applyNumberFormat="1" applyFont="1" applyFill="1" applyBorder="1" applyAlignment="1">
      <alignment horizontal="center" vertical="center" wrapText="1"/>
    </xf>
    <xf numFmtId="167" fontId="2" fillId="73" borderId="101" xfId="0" applyNumberFormat="1" applyFont="1" applyFill="1" applyBorder="1" applyAlignment="1">
      <alignment horizontal="center" vertical="center" wrapText="1"/>
    </xf>
    <xf numFmtId="165" fontId="9" fillId="73" borderId="45" xfId="0" applyNumberFormat="1" applyFont="1" applyFill="1" applyBorder="1" applyAlignment="1">
      <alignment horizontal="center" vertical="center" wrapText="1"/>
    </xf>
    <xf numFmtId="167" fontId="2" fillId="22" borderId="73" xfId="0" applyNumberFormat="1" applyFont="1" applyFill="1" applyBorder="1" applyAlignment="1">
      <alignment horizontal="center" vertical="center" wrapText="1"/>
    </xf>
    <xf numFmtId="10" fontId="2" fillId="22" borderId="69" xfId="0" applyNumberFormat="1" applyFont="1" applyFill="1" applyBorder="1" applyAlignment="1">
      <alignment horizontal="center" vertical="center" wrapText="1"/>
    </xf>
    <xf numFmtId="0" fontId="9" fillId="22" borderId="77" xfId="0" applyFont="1" applyFill="1" applyBorder="1" applyAlignment="1">
      <alignment horizontal="center" vertical="center" wrapText="1"/>
    </xf>
    <xf numFmtId="167" fontId="2" fillId="22" borderId="34" xfId="0" applyNumberFormat="1" applyFont="1" applyFill="1" applyBorder="1" applyAlignment="1">
      <alignment horizontal="center" vertical="center" wrapText="1"/>
    </xf>
    <xf numFmtId="0" fontId="9" fillId="22" borderId="35" xfId="0" applyFont="1" applyFill="1" applyBorder="1" applyAlignment="1">
      <alignment horizontal="center" vertical="center" wrapText="1"/>
    </xf>
    <xf numFmtId="170" fontId="2" fillId="24" borderId="34" xfId="0" applyNumberFormat="1" applyFont="1" applyFill="1" applyBorder="1" applyAlignment="1">
      <alignment horizontal="right" vertical="center" wrapText="1"/>
    </xf>
    <xf numFmtId="0" fontId="2" fillId="24" borderId="49" xfId="0" applyFont="1" applyFill="1" applyBorder="1" applyAlignment="1">
      <alignment horizontal="left"/>
    </xf>
    <xf numFmtId="167" fontId="9" fillId="9" borderId="49" xfId="0" applyNumberFormat="1" applyFont="1" applyFill="1" applyBorder="1" applyAlignment="1">
      <alignment horizontal="left"/>
    </xf>
    <xf numFmtId="0" fontId="9" fillId="0" borderId="17" xfId="0" applyFont="1" applyBorder="1" applyAlignment="1">
      <alignment horizontal="right"/>
    </xf>
    <xf numFmtId="10" fontId="9" fillId="12" borderId="29" xfId="0" applyNumberFormat="1" applyFont="1" applyFill="1" applyBorder="1" applyAlignment="1">
      <alignment horizontal="center" vertical="center" wrapText="1"/>
    </xf>
    <xf numFmtId="10" fontId="9" fillId="12" borderId="22" xfId="0" applyNumberFormat="1" applyFont="1" applyFill="1" applyBorder="1" applyAlignment="1">
      <alignment horizontal="center" vertical="center" wrapText="1"/>
    </xf>
    <xf numFmtId="10" fontId="9" fillId="12" borderId="6" xfId="0" applyNumberFormat="1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 wrapText="1"/>
    </xf>
    <xf numFmtId="167" fontId="9" fillId="14" borderId="22" xfId="0" applyNumberFormat="1" applyFont="1" applyFill="1" applyBorder="1" applyAlignment="1">
      <alignment horizontal="center" vertical="center" wrapText="1"/>
    </xf>
    <xf numFmtId="167" fontId="9" fillId="15" borderId="14" xfId="0" applyNumberFormat="1" applyFont="1" applyFill="1" applyBorder="1" applyAlignment="1">
      <alignment horizontal="center" vertical="center" wrapText="1"/>
    </xf>
    <xf numFmtId="10" fontId="9" fillId="15" borderId="15" xfId="0" applyNumberFormat="1" applyFont="1" applyFill="1" applyBorder="1" applyAlignment="1">
      <alignment horizontal="center" vertical="center" wrapText="1"/>
    </xf>
    <xf numFmtId="10" fontId="9" fillId="60" borderId="15" xfId="0" applyNumberFormat="1" applyFont="1" applyFill="1" applyBorder="1" applyAlignment="1">
      <alignment horizontal="center" vertical="center" wrapText="1"/>
    </xf>
    <xf numFmtId="0" fontId="9" fillId="60" borderId="16" xfId="0" applyFont="1" applyFill="1" applyBorder="1" applyAlignment="1">
      <alignment horizontal="center" vertical="center" wrapText="1"/>
    </xf>
    <xf numFmtId="10" fontId="9" fillId="56" borderId="15" xfId="0" applyNumberFormat="1" applyFont="1" applyFill="1" applyBorder="1" applyAlignment="1">
      <alignment horizontal="center" vertical="center" wrapText="1"/>
    </xf>
    <xf numFmtId="0" fontId="9" fillId="56" borderId="16" xfId="0" applyFont="1" applyFill="1" applyBorder="1" applyAlignment="1">
      <alignment horizontal="center" vertical="center" wrapText="1"/>
    </xf>
    <xf numFmtId="10" fontId="9" fillId="29" borderId="15" xfId="0" applyNumberFormat="1" applyFont="1" applyFill="1" applyBorder="1" applyAlignment="1">
      <alignment horizontal="center" vertical="center" wrapText="1"/>
    </xf>
    <xf numFmtId="10" fontId="9" fillId="80" borderId="15" xfId="0" applyNumberFormat="1" applyFont="1" applyFill="1" applyBorder="1" applyAlignment="1">
      <alignment horizontal="center" vertical="center" wrapText="1"/>
    </xf>
    <xf numFmtId="10" fontId="9" fillId="17" borderId="22" xfId="0" applyNumberFormat="1" applyFont="1" applyFill="1" applyBorder="1" applyAlignment="1">
      <alignment horizontal="center" vertical="center" wrapText="1"/>
    </xf>
    <xf numFmtId="10" fontId="9" fillId="18" borderId="6" xfId="0" applyNumberFormat="1" applyFont="1" applyFill="1" applyBorder="1" applyAlignment="1">
      <alignment horizontal="center" vertical="center" wrapText="1"/>
    </xf>
    <xf numFmtId="10" fontId="9" fillId="18" borderId="29" xfId="0" applyNumberFormat="1" applyFont="1" applyFill="1" applyBorder="1" applyAlignment="1">
      <alignment horizontal="center" vertical="center" wrapText="1"/>
    </xf>
    <xf numFmtId="10" fontId="9" fillId="18" borderId="56" xfId="0" applyNumberFormat="1" applyFont="1" applyFill="1" applyBorder="1" applyAlignment="1">
      <alignment horizontal="center" vertical="center" wrapText="1"/>
    </xf>
    <xf numFmtId="10" fontId="9" fillId="18" borderId="22" xfId="0" applyNumberFormat="1" applyFont="1" applyFill="1" applyBorder="1" applyAlignment="1">
      <alignment horizontal="center" vertical="center" wrapText="1"/>
    </xf>
    <xf numFmtId="10" fontId="9" fillId="19" borderId="6" xfId="0" applyNumberFormat="1" applyFont="1" applyFill="1" applyBorder="1" applyAlignment="1">
      <alignment horizontal="center" vertical="center" wrapText="1"/>
    </xf>
    <xf numFmtId="10" fontId="9" fillId="19" borderId="22" xfId="0" applyNumberFormat="1" applyFont="1" applyFill="1" applyBorder="1" applyAlignment="1">
      <alignment horizontal="center" vertical="center" wrapText="1"/>
    </xf>
    <xf numFmtId="165" fontId="9" fillId="36" borderId="29" xfId="0" applyNumberFormat="1" applyFont="1" applyFill="1" applyBorder="1" applyAlignment="1">
      <alignment horizontal="center" vertical="center" wrapText="1"/>
    </xf>
    <xf numFmtId="167" fontId="9" fillId="15" borderId="21" xfId="0" applyNumberFormat="1" applyFont="1" applyFill="1" applyBorder="1" applyAlignment="1">
      <alignment horizontal="center" vertical="center" wrapText="1"/>
    </xf>
    <xf numFmtId="10" fontId="9" fillId="15" borderId="6" xfId="0" applyNumberFormat="1" applyFont="1" applyFill="1" applyBorder="1" applyAlignment="1">
      <alignment horizontal="center" vertical="center" wrapText="1"/>
    </xf>
    <xf numFmtId="10" fontId="9" fillId="60" borderId="6" xfId="0" applyNumberFormat="1" applyFont="1" applyFill="1" applyBorder="1" applyAlignment="1">
      <alignment horizontal="center" vertical="center" wrapText="1"/>
    </xf>
    <xf numFmtId="0" fontId="9" fillId="60" borderId="22" xfId="0" applyFont="1" applyFill="1" applyBorder="1" applyAlignment="1">
      <alignment horizontal="center" vertical="center" wrapText="1"/>
    </xf>
    <xf numFmtId="10" fontId="9" fillId="56" borderId="6" xfId="0" applyNumberFormat="1" applyFont="1" applyFill="1" applyBorder="1" applyAlignment="1">
      <alignment horizontal="center" vertical="center" wrapText="1"/>
    </xf>
    <xf numFmtId="0" fontId="9" fillId="56" borderId="22" xfId="0" applyFont="1" applyFill="1" applyBorder="1" applyAlignment="1">
      <alignment horizontal="center" vertical="center" wrapText="1"/>
    </xf>
    <xf numFmtId="10" fontId="9" fillId="29" borderId="6" xfId="0" applyNumberFormat="1" applyFont="1" applyFill="1" applyBorder="1" applyAlignment="1">
      <alignment horizontal="center" vertical="center" wrapText="1"/>
    </xf>
    <xf numFmtId="10" fontId="9" fillId="80" borderId="6" xfId="0" applyNumberFormat="1" applyFont="1" applyFill="1" applyBorder="1" applyAlignment="1">
      <alignment horizontal="center" vertical="center" wrapText="1"/>
    </xf>
    <xf numFmtId="167" fontId="9" fillId="48" borderId="21" xfId="0" applyNumberFormat="1" applyFont="1" applyFill="1" applyBorder="1" applyAlignment="1">
      <alignment horizontal="center" vertical="center" wrapText="1"/>
    </xf>
    <xf numFmtId="10" fontId="9" fillId="48" borderId="29" xfId="0" applyNumberFormat="1" applyFont="1" applyFill="1" applyBorder="1" applyAlignment="1">
      <alignment horizontal="center" vertical="center" wrapText="1"/>
    </xf>
    <xf numFmtId="10" fontId="9" fillId="48" borderId="22" xfId="0" applyNumberFormat="1" applyFont="1" applyFill="1" applyBorder="1" applyAlignment="1">
      <alignment horizontal="center" vertical="center" wrapText="1"/>
    </xf>
    <xf numFmtId="167" fontId="9" fillId="12" borderId="67" xfId="0" applyNumberFormat="1" applyFont="1" applyFill="1" applyBorder="1" applyAlignment="1">
      <alignment horizontal="center" vertical="center" wrapText="1"/>
    </xf>
    <xf numFmtId="10" fontId="9" fillId="12" borderId="31" xfId="0" applyNumberFormat="1" applyFont="1" applyFill="1" applyBorder="1" applyAlignment="1">
      <alignment horizontal="center" vertical="center" wrapText="1"/>
    </xf>
    <xf numFmtId="10" fontId="9" fillId="12" borderId="30" xfId="0" applyNumberFormat="1" applyFont="1" applyFill="1" applyBorder="1" applyAlignment="1">
      <alignment horizontal="center" vertical="center" wrapText="1"/>
    </xf>
    <xf numFmtId="0" fontId="9" fillId="12" borderId="31" xfId="0" applyFont="1" applyFill="1" applyBorder="1" applyAlignment="1">
      <alignment horizontal="center" vertical="center" wrapText="1"/>
    </xf>
    <xf numFmtId="10" fontId="9" fillId="48" borderId="6" xfId="0" applyNumberFormat="1" applyFont="1" applyFill="1" applyBorder="1" applyAlignment="1">
      <alignment horizontal="center" vertical="center" wrapText="1"/>
    </xf>
    <xf numFmtId="0" fontId="9" fillId="48" borderId="22" xfId="0" applyFont="1" applyFill="1" applyBorder="1" applyAlignment="1">
      <alignment horizontal="center" vertical="center" wrapText="1"/>
    </xf>
    <xf numFmtId="0" fontId="9" fillId="48" borderId="6" xfId="0" applyFont="1" applyFill="1" applyBorder="1"/>
    <xf numFmtId="166" fontId="9" fillId="48" borderId="22" xfId="0" applyNumberFormat="1" applyFont="1" applyFill="1" applyBorder="1" applyAlignment="1">
      <alignment horizontal="center" vertical="center" wrapText="1"/>
    </xf>
    <xf numFmtId="167" fontId="9" fillId="48" borderId="22" xfId="0" applyNumberFormat="1" applyFont="1" applyFill="1" applyBorder="1" applyAlignment="1">
      <alignment horizontal="center" vertical="center" wrapText="1"/>
    </xf>
    <xf numFmtId="10" fontId="9" fillId="68" borderId="6" xfId="0" applyNumberFormat="1" applyFont="1" applyFill="1" applyBorder="1" applyAlignment="1">
      <alignment horizontal="center" vertical="center" wrapText="1"/>
    </xf>
    <xf numFmtId="170" fontId="9" fillId="62" borderId="21" xfId="0" applyNumberFormat="1" applyFont="1" applyFill="1" applyBorder="1" applyAlignment="1">
      <alignment horizontal="center" vertical="center" wrapText="1"/>
    </xf>
    <xf numFmtId="10" fontId="9" fillId="62" borderId="6" xfId="0" applyNumberFormat="1" applyFont="1" applyFill="1" applyBorder="1" applyAlignment="1">
      <alignment horizontal="center" vertical="center" wrapText="1"/>
    </xf>
    <xf numFmtId="0" fontId="9" fillId="62" borderId="22" xfId="0" applyFont="1" applyFill="1" applyBorder="1" applyAlignment="1">
      <alignment horizontal="center" vertical="center" wrapText="1"/>
    </xf>
    <xf numFmtId="167" fontId="9" fillId="62" borderId="21" xfId="0" applyNumberFormat="1" applyFont="1" applyFill="1" applyBorder="1" applyAlignment="1">
      <alignment horizontal="center" vertical="center" wrapText="1"/>
    </xf>
    <xf numFmtId="170" fontId="9" fillId="8" borderId="21" xfId="0" applyNumberFormat="1" applyFont="1" applyFill="1" applyBorder="1" applyAlignment="1">
      <alignment horizontal="center" vertical="center" wrapText="1"/>
    </xf>
    <xf numFmtId="10" fontId="9" fillId="8" borderId="22" xfId="0" applyNumberFormat="1" applyFont="1" applyFill="1" applyBorder="1" applyAlignment="1">
      <alignment horizontal="center" vertical="center" wrapText="1"/>
    </xf>
    <xf numFmtId="167" fontId="9" fillId="8" borderId="28" xfId="0" applyNumberFormat="1" applyFont="1" applyFill="1" applyBorder="1" applyAlignment="1">
      <alignment horizontal="center" vertical="center" wrapText="1"/>
    </xf>
    <xf numFmtId="10" fontId="9" fillId="8" borderId="29" xfId="0" applyNumberFormat="1" applyFont="1" applyFill="1" applyBorder="1" applyAlignment="1">
      <alignment horizontal="center" vertical="center" wrapText="1"/>
    </xf>
    <xf numFmtId="10" fontId="9" fillId="8" borderId="56" xfId="0" applyNumberFormat="1" applyFont="1" applyFill="1" applyBorder="1" applyAlignment="1">
      <alignment horizontal="center" vertical="center" wrapText="1"/>
    </xf>
    <xf numFmtId="10" fontId="9" fillId="8" borderId="6" xfId="1" applyNumberFormat="1" applyFont="1" applyFill="1" applyBorder="1" applyAlignment="1">
      <alignment horizontal="center" vertical="center" wrapText="1"/>
    </xf>
    <xf numFmtId="165" fontId="9" fillId="53" borderId="22" xfId="0" applyNumberFormat="1" applyFont="1" applyFill="1" applyBorder="1" applyAlignment="1">
      <alignment horizontal="center" vertical="center" wrapText="1"/>
    </xf>
    <xf numFmtId="165" fontId="9" fillId="39" borderId="22" xfId="0" applyNumberFormat="1" applyFont="1" applyFill="1" applyBorder="1" applyAlignment="1">
      <alignment horizontal="center" vertical="center" wrapText="1"/>
    </xf>
    <xf numFmtId="167" fontId="9" fillId="53" borderId="21" xfId="0" applyNumberFormat="1" applyFont="1" applyFill="1" applyBorder="1" applyAlignment="1">
      <alignment horizontal="center" vertical="center" wrapText="1"/>
    </xf>
    <xf numFmtId="10" fontId="9" fillId="53" borderId="6" xfId="0" applyNumberFormat="1" applyFont="1" applyFill="1" applyBorder="1" applyAlignment="1">
      <alignment horizontal="center" vertical="center" wrapText="1"/>
    </xf>
    <xf numFmtId="166" fontId="9" fillId="8" borderId="22" xfId="0" applyNumberFormat="1" applyFont="1" applyFill="1" applyBorder="1" applyAlignment="1">
      <alignment horizontal="center" vertical="center" wrapText="1"/>
    </xf>
    <xf numFmtId="167" fontId="9" fillId="57" borderId="21" xfId="0" applyNumberFormat="1" applyFont="1" applyFill="1" applyBorder="1" applyAlignment="1">
      <alignment horizontal="center" vertical="center" wrapText="1"/>
    </xf>
    <xf numFmtId="10" fontId="9" fillId="57" borderId="6" xfId="0" applyNumberFormat="1" applyFont="1" applyFill="1" applyBorder="1" applyAlignment="1">
      <alignment horizontal="center" vertical="center" wrapText="1"/>
    </xf>
    <xf numFmtId="167" fontId="9" fillId="8" borderId="18" xfId="0" applyNumberFormat="1" applyFont="1" applyFill="1" applyBorder="1" applyAlignment="1">
      <alignment horizontal="center" vertical="center" wrapText="1"/>
    </xf>
    <xf numFmtId="10" fontId="9" fillId="8" borderId="19" xfId="0" applyNumberFormat="1" applyFont="1" applyFill="1" applyBorder="1" applyAlignment="1">
      <alignment horizontal="center" vertical="center" wrapText="1"/>
    </xf>
    <xf numFmtId="170" fontId="9" fillId="62" borderId="18" xfId="0" applyNumberFormat="1" applyFont="1" applyFill="1" applyBorder="1" applyAlignment="1">
      <alignment horizontal="center" vertical="center" wrapText="1"/>
    </xf>
    <xf numFmtId="10" fontId="9" fillId="62" borderId="19" xfId="0" applyNumberFormat="1" applyFont="1" applyFill="1" applyBorder="1" applyAlignment="1">
      <alignment horizontal="center" vertical="center" wrapText="1"/>
    </xf>
    <xf numFmtId="0" fontId="9" fillId="62" borderId="20" xfId="0" applyFont="1" applyFill="1" applyBorder="1" applyAlignment="1">
      <alignment horizontal="center" vertical="center" wrapText="1"/>
    </xf>
    <xf numFmtId="170" fontId="9" fillId="8" borderId="18" xfId="0" applyNumberFormat="1" applyFont="1" applyFill="1" applyBorder="1" applyAlignment="1">
      <alignment horizontal="center" vertical="center" wrapText="1"/>
    </xf>
    <xf numFmtId="10" fontId="9" fillId="8" borderId="20" xfId="0" applyNumberFormat="1" applyFont="1" applyFill="1" applyBorder="1" applyAlignment="1">
      <alignment horizontal="center" vertical="center" wrapText="1"/>
    </xf>
    <xf numFmtId="10" fontId="9" fillId="8" borderId="51" xfId="0" applyNumberFormat="1" applyFont="1" applyFill="1" applyBorder="1" applyAlignment="1">
      <alignment horizontal="center" vertical="center" wrapText="1"/>
    </xf>
    <xf numFmtId="10" fontId="9" fillId="8" borderId="19" xfId="1" applyNumberFormat="1" applyFont="1" applyFill="1" applyBorder="1" applyAlignment="1">
      <alignment horizontal="center" vertical="center" wrapText="1"/>
    </xf>
    <xf numFmtId="167" fontId="9" fillId="54" borderId="18" xfId="0" applyNumberFormat="1" applyFont="1" applyFill="1" applyBorder="1" applyAlignment="1">
      <alignment horizontal="center" vertical="center" wrapText="1"/>
    </xf>
    <xf numFmtId="10" fontId="9" fillId="54" borderId="19" xfId="0" applyNumberFormat="1" applyFont="1" applyFill="1" applyBorder="1" applyAlignment="1">
      <alignment horizontal="center" vertical="center" wrapText="1"/>
    </xf>
    <xf numFmtId="165" fontId="9" fillId="54" borderId="20" xfId="0" applyNumberFormat="1" applyFont="1" applyFill="1" applyBorder="1" applyAlignment="1">
      <alignment horizontal="center" vertical="center" wrapText="1"/>
    </xf>
    <xf numFmtId="0" fontId="2" fillId="73" borderId="49" xfId="0" applyFont="1" applyFill="1" applyBorder="1" applyAlignment="1">
      <alignment vertical="center" wrapText="1"/>
    </xf>
    <xf numFmtId="170" fontId="2" fillId="73" borderId="44" xfId="0" applyNumberFormat="1" applyFont="1" applyFill="1" applyBorder="1" applyAlignment="1">
      <alignment horizontal="center" vertical="center" wrapText="1"/>
    </xf>
    <xf numFmtId="165" fontId="9" fillId="66" borderId="58" xfId="0" applyNumberFormat="1" applyFont="1" applyFill="1" applyBorder="1" applyAlignment="1">
      <alignment horizontal="left" vertical="center" wrapText="1"/>
    </xf>
    <xf numFmtId="10" fontId="2" fillId="22" borderId="35" xfId="0" applyNumberFormat="1" applyFont="1" applyFill="1" applyBorder="1" applyAlignment="1">
      <alignment horizontal="center" vertical="center" wrapText="1"/>
    </xf>
    <xf numFmtId="10" fontId="9" fillId="22" borderId="35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167" fontId="9" fillId="48" borderId="14" xfId="0" applyNumberFormat="1" applyFont="1" applyFill="1" applyBorder="1" applyAlignment="1">
      <alignment horizontal="center" vertical="center" wrapText="1"/>
    </xf>
    <xf numFmtId="10" fontId="9" fillId="48" borderId="26" xfId="0" applyNumberFormat="1" applyFont="1" applyFill="1" applyBorder="1" applyAlignment="1">
      <alignment horizontal="center" vertical="center" wrapText="1"/>
    </xf>
    <xf numFmtId="10" fontId="9" fillId="48" borderId="16" xfId="0" applyNumberFormat="1" applyFont="1" applyFill="1" applyBorder="1" applyAlignment="1">
      <alignment horizontal="center" vertical="center" wrapText="1"/>
    </xf>
    <xf numFmtId="10" fontId="9" fillId="48" borderId="15" xfId="0" applyNumberFormat="1" applyFont="1" applyFill="1" applyBorder="1" applyAlignment="1">
      <alignment horizontal="center" vertical="center" wrapText="1"/>
    </xf>
    <xf numFmtId="0" fontId="9" fillId="48" borderId="16" xfId="0" applyFont="1" applyFill="1" applyBorder="1" applyAlignment="1">
      <alignment horizontal="center" vertical="center" wrapText="1"/>
    </xf>
    <xf numFmtId="0" fontId="9" fillId="48" borderId="15" xfId="0" applyFont="1" applyFill="1" applyBorder="1"/>
    <xf numFmtId="166" fontId="9" fillId="48" borderId="16" xfId="0" applyNumberFormat="1" applyFont="1" applyFill="1" applyBorder="1" applyAlignment="1">
      <alignment horizontal="center" vertical="center" wrapText="1"/>
    </xf>
    <xf numFmtId="167" fontId="9" fillId="48" borderId="16" xfId="0" applyNumberFormat="1" applyFont="1" applyFill="1" applyBorder="1" applyAlignment="1">
      <alignment horizontal="center" vertical="center" wrapText="1"/>
    </xf>
    <xf numFmtId="0" fontId="9" fillId="42" borderId="84" xfId="0" applyFont="1" applyFill="1" applyBorder="1" applyAlignment="1">
      <alignment vertical="center" wrapText="1"/>
    </xf>
    <xf numFmtId="170" fontId="9" fillId="53" borderId="14" xfId="0" applyNumberFormat="1" applyFont="1" applyFill="1" applyBorder="1" applyAlignment="1">
      <alignment horizontal="center" vertical="center" wrapText="1"/>
    </xf>
    <xf numFmtId="10" fontId="9" fillId="53" borderId="15" xfId="0" applyNumberFormat="1" applyFont="1" applyFill="1" applyBorder="1" applyAlignment="1">
      <alignment horizontal="center" vertical="center" wrapText="1"/>
    </xf>
    <xf numFmtId="10" fontId="9" fillId="53" borderId="16" xfId="0" applyNumberFormat="1" applyFont="1" applyFill="1" applyBorder="1" applyAlignment="1">
      <alignment horizontal="center" vertical="center" wrapText="1"/>
    </xf>
    <xf numFmtId="167" fontId="9" fillId="53" borderId="72" xfId="0" applyNumberFormat="1" applyFont="1" applyFill="1" applyBorder="1" applyAlignment="1">
      <alignment horizontal="center" vertical="center" wrapText="1"/>
    </xf>
    <xf numFmtId="10" fontId="9" fillId="53" borderId="70" xfId="0" applyNumberFormat="1" applyFont="1" applyFill="1" applyBorder="1" applyAlignment="1">
      <alignment horizontal="center" vertical="center" wrapText="1"/>
    </xf>
    <xf numFmtId="10" fontId="9" fillId="53" borderId="76" xfId="0" applyNumberFormat="1" applyFont="1" applyFill="1" applyBorder="1" applyAlignment="1">
      <alignment horizontal="center" vertical="center" wrapText="1"/>
    </xf>
    <xf numFmtId="10" fontId="9" fillId="53" borderId="52" xfId="0" applyNumberFormat="1" applyFont="1" applyFill="1" applyBorder="1" applyAlignment="1">
      <alignment horizontal="center" vertical="center" wrapText="1"/>
    </xf>
    <xf numFmtId="167" fontId="9" fillId="53" borderId="14" xfId="0" applyNumberFormat="1" applyFont="1" applyFill="1" applyBorder="1" applyAlignment="1">
      <alignment horizontal="center" vertical="center" wrapText="1"/>
    </xf>
    <xf numFmtId="10" fontId="9" fillId="53" borderId="15" xfId="1" applyNumberFormat="1" applyFont="1" applyFill="1" applyBorder="1" applyAlignment="1">
      <alignment horizontal="center" vertical="center" wrapText="1"/>
    </xf>
    <xf numFmtId="165" fontId="9" fillId="53" borderId="16" xfId="0" applyNumberFormat="1" applyFont="1" applyFill="1" applyBorder="1" applyAlignment="1">
      <alignment horizontal="center" vertical="center" wrapText="1"/>
    </xf>
    <xf numFmtId="167" fontId="9" fillId="6" borderId="64" xfId="0" applyNumberFormat="1" applyFont="1" applyFill="1" applyBorder="1" applyAlignment="1">
      <alignment horizontal="left"/>
    </xf>
    <xf numFmtId="2" fontId="9" fillId="0" borderId="0" xfId="0" applyNumberFormat="1" applyFont="1"/>
    <xf numFmtId="179" fontId="9" fillId="11" borderId="21" xfId="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165" fontId="9" fillId="8" borderId="22" xfId="0" applyNumberFormat="1" applyFont="1" applyFill="1" applyBorder="1" applyAlignment="1">
      <alignment horizontal="center" vertical="center" wrapText="1"/>
    </xf>
    <xf numFmtId="167" fontId="9" fillId="6" borderId="5" xfId="0" applyNumberFormat="1" applyFont="1" applyFill="1" applyBorder="1" applyAlignment="1">
      <alignment horizontal="left"/>
    </xf>
    <xf numFmtId="0" fontId="9" fillId="0" borderId="17" xfId="2" applyFont="1" applyBorder="1" applyAlignment="1">
      <alignment horizontal="right"/>
    </xf>
    <xf numFmtId="9" fontId="9" fillId="13" borderId="6" xfId="0" applyNumberFormat="1" applyFont="1" applyFill="1" applyBorder="1" applyAlignment="1">
      <alignment horizontal="center" vertical="center" wrapText="1"/>
    </xf>
    <xf numFmtId="9" fontId="9" fillId="14" borderId="6" xfId="0" applyNumberFormat="1" applyFont="1" applyFill="1" applyBorder="1" applyAlignment="1">
      <alignment horizontal="center" vertical="center" wrapText="1"/>
    </xf>
    <xf numFmtId="170" fontId="9" fillId="48" borderId="21" xfId="0" applyNumberFormat="1" applyFont="1" applyFill="1" applyBorder="1" applyAlignment="1">
      <alignment horizontal="center" vertical="center" wrapText="1"/>
    </xf>
    <xf numFmtId="10" fontId="9" fillId="48" borderId="6" xfId="1" applyNumberFormat="1" applyFont="1" applyFill="1" applyBorder="1" applyAlignment="1">
      <alignment horizontal="center" vertical="center" wrapText="1"/>
    </xf>
    <xf numFmtId="165" fontId="9" fillId="48" borderId="22" xfId="0" applyNumberFormat="1" applyFont="1" applyFill="1" applyBorder="1" applyAlignment="1">
      <alignment horizontal="center" vertical="center" wrapText="1"/>
    </xf>
    <xf numFmtId="165" fontId="9" fillId="16" borderId="21" xfId="0" applyNumberFormat="1" applyFont="1" applyFill="1" applyBorder="1" applyAlignment="1">
      <alignment horizontal="center" vertical="center" wrapText="1"/>
    </xf>
    <xf numFmtId="0" fontId="9" fillId="65" borderId="2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/>
    </xf>
    <xf numFmtId="9" fontId="9" fillId="11" borderId="6" xfId="0" applyNumberFormat="1" applyFont="1" applyFill="1" applyBorder="1" applyAlignment="1">
      <alignment horizontal="center" vertical="center" wrapText="1"/>
    </xf>
    <xf numFmtId="166" fontId="9" fillId="53" borderId="22" xfId="0" applyNumberFormat="1" applyFont="1" applyFill="1" applyBorder="1" applyAlignment="1">
      <alignment horizontal="center" vertical="center" wrapText="1"/>
    </xf>
    <xf numFmtId="165" fontId="9" fillId="48" borderId="21" xfId="0" applyNumberFormat="1" applyFont="1" applyFill="1" applyBorder="1" applyAlignment="1">
      <alignment horizontal="center" vertical="center" wrapText="1"/>
    </xf>
    <xf numFmtId="165" fontId="9" fillId="48" borderId="6" xfId="0" applyNumberFormat="1" applyFont="1" applyFill="1" applyBorder="1" applyAlignment="1">
      <alignment horizontal="center" vertical="center" wrapText="1"/>
    </xf>
    <xf numFmtId="10" fontId="9" fillId="54" borderId="22" xfId="0" applyNumberFormat="1" applyFont="1" applyFill="1" applyBorder="1" applyAlignment="1">
      <alignment horizontal="center" vertical="center" wrapText="1"/>
    </xf>
    <xf numFmtId="167" fontId="9" fillId="54" borderId="21" xfId="0" applyNumberFormat="1" applyFont="1" applyFill="1" applyBorder="1" applyAlignment="1">
      <alignment horizontal="center" vertical="center" wrapText="1"/>
    </xf>
    <xf numFmtId="10" fontId="9" fillId="54" borderId="6" xfId="0" applyNumberFormat="1" applyFont="1" applyFill="1" applyBorder="1" applyAlignment="1">
      <alignment horizontal="center" vertical="center" wrapText="1"/>
    </xf>
    <xf numFmtId="165" fontId="9" fillId="17" borderId="83" xfId="0" applyNumberFormat="1" applyFont="1" applyFill="1" applyBorder="1" applyAlignment="1">
      <alignment horizontal="left"/>
    </xf>
    <xf numFmtId="170" fontId="9" fillId="85" borderId="67" xfId="0" applyNumberFormat="1" applyFont="1" applyFill="1" applyBorder="1" applyAlignment="1">
      <alignment horizontal="center" vertical="center" wrapText="1"/>
    </xf>
    <xf numFmtId="10" fontId="9" fillId="85" borderId="30" xfId="1" applyNumberFormat="1" applyFont="1" applyFill="1" applyBorder="1" applyAlignment="1">
      <alignment horizontal="center" vertical="center" wrapText="1"/>
    </xf>
    <xf numFmtId="0" fontId="9" fillId="85" borderId="66" xfId="0" applyFont="1" applyFill="1" applyBorder="1" applyAlignment="1">
      <alignment horizontal="center" vertical="center" wrapText="1"/>
    </xf>
    <xf numFmtId="167" fontId="9" fillId="29" borderId="65" xfId="0" applyNumberFormat="1" applyFont="1" applyFill="1" applyBorder="1" applyAlignment="1">
      <alignment horizontal="center" vertical="center" wrapText="1"/>
    </xf>
    <xf numFmtId="10" fontId="9" fillId="29" borderId="41" xfId="0" applyNumberFormat="1" applyFont="1" applyFill="1" applyBorder="1" applyAlignment="1">
      <alignment horizontal="center" vertical="center" wrapText="1"/>
    </xf>
    <xf numFmtId="0" fontId="9" fillId="29" borderId="66" xfId="0" applyFont="1" applyFill="1" applyBorder="1" applyAlignment="1">
      <alignment horizontal="center" vertical="center" wrapText="1"/>
    </xf>
    <xf numFmtId="167" fontId="9" fillId="8" borderId="65" xfId="0" applyNumberFormat="1" applyFont="1" applyFill="1" applyBorder="1" applyAlignment="1">
      <alignment horizontal="center" vertical="center" wrapText="1"/>
    </xf>
    <xf numFmtId="10" fontId="9" fillId="8" borderId="41" xfId="0" applyNumberFormat="1" applyFont="1" applyFill="1" applyBorder="1" applyAlignment="1">
      <alignment horizontal="center" vertical="center" wrapText="1"/>
    </xf>
    <xf numFmtId="0" fontId="9" fillId="8" borderId="66" xfId="0" applyFont="1" applyFill="1" applyBorder="1" applyAlignment="1">
      <alignment horizontal="center" vertical="center" wrapText="1"/>
    </xf>
    <xf numFmtId="165" fontId="9" fillId="16" borderId="66" xfId="0" applyNumberFormat="1" applyFont="1" applyFill="1" applyBorder="1" applyAlignment="1">
      <alignment horizontal="center" vertical="center" wrapText="1"/>
    </xf>
    <xf numFmtId="165" fontId="9" fillId="17" borderId="5" xfId="0" applyNumberFormat="1" applyFont="1" applyFill="1" applyBorder="1" applyAlignment="1">
      <alignment horizontal="left"/>
    </xf>
    <xf numFmtId="179" fontId="9" fillId="79" borderId="21" xfId="0" applyNumberFormat="1" applyFont="1" applyFill="1" applyBorder="1" applyAlignment="1">
      <alignment horizontal="right" vertical="center" wrapText="1" shrinkToFit="1"/>
    </xf>
    <xf numFmtId="167" fontId="2" fillId="66" borderId="34" xfId="0" applyNumberFormat="1" applyFont="1" applyFill="1" applyBorder="1" applyAlignment="1">
      <alignment horizontal="center" vertical="center" wrapText="1"/>
    </xf>
    <xf numFmtId="10" fontId="2" fillId="66" borderId="38" xfId="0" applyNumberFormat="1" applyFont="1" applyFill="1" applyBorder="1" applyAlignment="1">
      <alignment horizontal="center" vertical="center" wrapText="1"/>
    </xf>
    <xf numFmtId="10" fontId="2" fillId="66" borderId="36" xfId="0" applyNumberFormat="1" applyFont="1" applyFill="1" applyBorder="1" applyAlignment="1">
      <alignment horizontal="center" vertical="center" wrapText="1"/>
    </xf>
    <xf numFmtId="10" fontId="13" fillId="66" borderId="36" xfId="0" applyNumberFormat="1" applyFont="1" applyFill="1" applyBorder="1" applyAlignment="1">
      <alignment horizontal="center" vertical="center" wrapText="1"/>
    </xf>
    <xf numFmtId="10" fontId="2" fillId="66" borderId="35" xfId="0" applyNumberFormat="1" applyFont="1" applyFill="1" applyBorder="1" applyAlignment="1">
      <alignment horizontal="center" vertical="center" wrapText="1"/>
    </xf>
    <xf numFmtId="0" fontId="9" fillId="66" borderId="36" xfId="0" applyFont="1" applyFill="1" applyBorder="1" applyAlignment="1">
      <alignment horizontal="center" vertical="center" wrapText="1"/>
    </xf>
    <xf numFmtId="10" fontId="9" fillId="23" borderId="35" xfId="0" applyNumberFormat="1" applyFont="1" applyFill="1" applyBorder="1" applyAlignment="1">
      <alignment horizontal="center" vertical="center" wrapText="1"/>
    </xf>
    <xf numFmtId="165" fontId="9" fillId="22" borderId="36" xfId="0" applyNumberFormat="1" applyFont="1" applyFill="1" applyBorder="1" applyAlignment="1">
      <alignment horizontal="center" vertical="center" wrapText="1"/>
    </xf>
    <xf numFmtId="170" fontId="2" fillId="22" borderId="44" xfId="0" applyNumberFormat="1" applyFont="1" applyFill="1" applyBorder="1" applyAlignment="1">
      <alignment horizontal="center" vertical="center" wrapText="1"/>
    </xf>
    <xf numFmtId="10" fontId="9" fillId="22" borderId="75" xfId="0" applyNumberFormat="1" applyFont="1" applyFill="1" applyBorder="1" applyAlignment="1">
      <alignment horizontal="center" vertical="center" wrapText="1"/>
    </xf>
    <xf numFmtId="170" fontId="2" fillId="22" borderId="68" xfId="0" applyNumberFormat="1" applyFont="1" applyFill="1" applyBorder="1" applyAlignment="1">
      <alignment horizontal="center" vertical="center" wrapText="1"/>
    </xf>
    <xf numFmtId="2" fontId="2" fillId="22" borderId="69" xfId="0" applyNumberFormat="1" applyFont="1" applyFill="1" applyBorder="1" applyAlignment="1">
      <alignment horizontal="center" vertical="center" wrapText="1"/>
    </xf>
    <xf numFmtId="10" fontId="9" fillId="22" borderId="77" xfId="0" applyNumberFormat="1" applyFont="1" applyFill="1" applyBorder="1" applyAlignment="1">
      <alignment horizontal="center" vertical="center" wrapText="1"/>
    </xf>
    <xf numFmtId="10" fontId="9" fillId="22" borderId="36" xfId="0" applyNumberFormat="1" applyFont="1" applyFill="1" applyBorder="1" applyAlignment="1">
      <alignment horizontal="center" vertical="center" wrapText="1"/>
    </xf>
    <xf numFmtId="2" fontId="2" fillId="22" borderId="35" xfId="0" applyNumberFormat="1" applyFont="1" applyFill="1" applyBorder="1" applyAlignment="1">
      <alignment horizontal="center" vertical="center" wrapText="1"/>
    </xf>
    <xf numFmtId="167" fontId="2" fillId="22" borderId="34" xfId="0" applyNumberFormat="1" applyFont="1" applyFill="1" applyBorder="1" applyAlignment="1">
      <alignment horizontal="right" vertical="center" wrapText="1"/>
    </xf>
    <xf numFmtId="10" fontId="9" fillId="12" borderId="26" xfId="0" applyNumberFormat="1" applyFont="1" applyFill="1" applyBorder="1" applyAlignment="1">
      <alignment horizontal="center" vertical="center" wrapText="1"/>
    </xf>
    <xf numFmtId="10" fontId="9" fillId="12" borderId="16" xfId="0" applyNumberFormat="1" applyFont="1" applyFill="1" applyBorder="1" applyAlignment="1">
      <alignment horizontal="center" vertical="center" wrapText="1"/>
    </xf>
    <xf numFmtId="10" fontId="9" fillId="12" borderId="15" xfId="0" applyNumberFormat="1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170" fontId="9" fillId="64" borderId="14" xfId="0" applyNumberFormat="1" applyFont="1" applyFill="1" applyBorder="1" applyAlignment="1">
      <alignment horizontal="center" vertical="center" wrapText="1"/>
    </xf>
    <xf numFmtId="10" fontId="9" fillId="64" borderId="15" xfId="1" applyNumberFormat="1" applyFont="1" applyFill="1" applyBorder="1"/>
    <xf numFmtId="170" fontId="9" fillId="63" borderId="14" xfId="0" applyNumberFormat="1" applyFont="1" applyFill="1" applyBorder="1" applyAlignment="1">
      <alignment horizontal="center" vertical="center" wrapText="1"/>
    </xf>
    <xf numFmtId="10" fontId="9" fillId="63" borderId="15" xfId="1" applyNumberFormat="1" applyFont="1" applyFill="1" applyBorder="1" applyAlignment="1">
      <alignment horizontal="center"/>
    </xf>
    <xf numFmtId="167" fontId="9" fillId="55" borderId="14" xfId="0" applyNumberFormat="1" applyFont="1" applyFill="1" applyBorder="1" applyAlignment="1">
      <alignment horizontal="center" vertical="center" wrapText="1"/>
    </xf>
    <xf numFmtId="10" fontId="9" fillId="55" borderId="15" xfId="1" applyNumberFormat="1" applyFont="1" applyFill="1" applyBorder="1" applyAlignment="1">
      <alignment horizontal="center" vertical="center" wrapText="1"/>
    </xf>
    <xf numFmtId="0" fontId="9" fillId="55" borderId="16" xfId="0" applyFont="1" applyFill="1" applyBorder="1" applyAlignment="1">
      <alignment horizontal="center" vertical="center" wrapText="1"/>
    </xf>
    <xf numFmtId="170" fontId="9" fillId="49" borderId="14" xfId="0" applyNumberFormat="1" applyFont="1" applyFill="1" applyBorder="1" applyAlignment="1">
      <alignment horizontal="center" vertical="center" wrapText="1"/>
    </xf>
    <xf numFmtId="10" fontId="9" fillId="49" borderId="16" xfId="0" applyNumberFormat="1" applyFont="1" applyFill="1" applyBorder="1" applyAlignment="1">
      <alignment horizontal="center" vertical="center" wrapText="1"/>
    </xf>
    <xf numFmtId="170" fontId="9" fillId="50" borderId="72" xfId="0" applyNumberFormat="1" applyFont="1" applyFill="1" applyBorder="1" applyAlignment="1">
      <alignment horizontal="center" vertical="center" wrapText="1"/>
    </xf>
    <xf numFmtId="10" fontId="9" fillId="50" borderId="70" xfId="1" applyNumberFormat="1" applyFont="1" applyFill="1" applyBorder="1" applyAlignment="1">
      <alignment horizontal="center" vertical="center" wrapText="1"/>
    </xf>
    <xf numFmtId="10" fontId="9" fillId="50" borderId="76" xfId="0" applyNumberFormat="1" applyFont="1" applyFill="1" applyBorder="1" applyAlignment="1">
      <alignment horizontal="center" vertical="center" wrapText="1"/>
    </xf>
    <xf numFmtId="10" fontId="9" fillId="50" borderId="52" xfId="0" applyNumberFormat="1" applyFont="1" applyFill="1" applyBorder="1" applyAlignment="1">
      <alignment horizontal="center" vertical="center" wrapText="1"/>
    </xf>
    <xf numFmtId="170" fontId="9" fillId="50" borderId="14" xfId="0" applyNumberFormat="1" applyFont="1" applyFill="1" applyBorder="1" applyAlignment="1">
      <alignment horizontal="center" vertical="center" wrapText="1"/>
    </xf>
    <xf numFmtId="10" fontId="9" fillId="50" borderId="15" xfId="1" applyNumberFormat="1" applyFont="1" applyFill="1" applyBorder="1" applyAlignment="1">
      <alignment horizontal="center" vertical="center" wrapText="1"/>
    </xf>
    <xf numFmtId="10" fontId="9" fillId="50" borderId="16" xfId="0" applyNumberFormat="1" applyFont="1" applyFill="1" applyBorder="1" applyAlignment="1">
      <alignment horizontal="center" vertical="center" wrapText="1"/>
    </xf>
    <xf numFmtId="170" fontId="9" fillId="51" borderId="14" xfId="0" applyNumberFormat="1" applyFont="1" applyFill="1" applyBorder="1" applyAlignment="1">
      <alignment horizontal="center" vertical="center" wrapText="1"/>
    </xf>
    <xf numFmtId="10" fontId="9" fillId="51" borderId="15" xfId="1" applyNumberFormat="1" applyFont="1" applyFill="1" applyBorder="1" applyAlignment="1">
      <alignment horizontal="center" vertical="center" wrapText="1"/>
    </xf>
    <xf numFmtId="10" fontId="9" fillId="51" borderId="16" xfId="0" applyNumberFormat="1" applyFont="1" applyFill="1" applyBorder="1" applyAlignment="1">
      <alignment horizontal="center" vertical="center" wrapText="1"/>
    </xf>
    <xf numFmtId="10" fontId="9" fillId="52" borderId="15" xfId="0" applyNumberFormat="1" applyFont="1" applyFill="1" applyBorder="1" applyAlignment="1">
      <alignment horizontal="center" vertical="center" wrapText="1"/>
    </xf>
    <xf numFmtId="0" fontId="9" fillId="6" borderId="0" xfId="0" applyFont="1" applyFill="1"/>
    <xf numFmtId="176" fontId="9" fillId="0" borderId="17" xfId="2" applyNumberFormat="1" applyFont="1" applyFill="1" applyBorder="1" applyAlignment="1">
      <alignment horizontal="right" wrapText="1"/>
    </xf>
    <xf numFmtId="167" fontId="82" fillId="48" borderId="21" xfId="0" applyNumberFormat="1" applyFont="1" applyFill="1" applyBorder="1" applyAlignment="1">
      <alignment horizontal="center" vertical="center" wrapText="1"/>
    </xf>
    <xf numFmtId="10" fontId="82" fillId="8" borderId="22" xfId="0" applyNumberFormat="1" applyFont="1" applyFill="1" applyBorder="1" applyAlignment="1">
      <alignment horizontal="center" vertical="center" wrapText="1"/>
    </xf>
    <xf numFmtId="167" fontId="9" fillId="8" borderId="6" xfId="0" applyNumberFormat="1" applyFont="1" applyFill="1" applyBorder="1" applyAlignment="1">
      <alignment horizontal="center" vertical="center" wrapText="1"/>
    </xf>
    <xf numFmtId="167" fontId="9" fillId="57" borderId="22" xfId="0" applyNumberFormat="1" applyFont="1" applyFill="1" applyBorder="1" applyAlignment="1">
      <alignment horizontal="center" vertical="center" wrapText="1"/>
    </xf>
    <xf numFmtId="167" fontId="9" fillId="68" borderId="23" xfId="0" applyNumberFormat="1" applyFont="1" applyFill="1" applyBorder="1" applyAlignment="1">
      <alignment horizontal="center" vertical="center" wrapText="1"/>
    </xf>
    <xf numFmtId="9" fontId="9" fillId="68" borderId="7" xfId="1" applyNumberFormat="1" applyFont="1" applyFill="1" applyBorder="1" applyAlignment="1">
      <alignment horizontal="center" vertical="center" wrapText="1"/>
    </xf>
    <xf numFmtId="9" fontId="9" fillId="8" borderId="6" xfId="1" applyNumberFormat="1" applyFont="1" applyFill="1" applyBorder="1" applyAlignment="1">
      <alignment horizontal="center" vertical="center" wrapText="1"/>
    </xf>
    <xf numFmtId="0" fontId="9" fillId="62" borderId="21" xfId="0" applyFont="1" applyFill="1" applyBorder="1" applyAlignment="1">
      <alignment horizontal="center" vertical="center" wrapText="1"/>
    </xf>
    <xf numFmtId="0" fontId="9" fillId="62" borderId="6" xfId="0" applyFont="1" applyFill="1" applyBorder="1" applyAlignment="1">
      <alignment horizontal="center" vertical="center" wrapText="1"/>
    </xf>
    <xf numFmtId="167" fontId="9" fillId="16" borderId="23" xfId="0" applyNumberFormat="1" applyFont="1" applyFill="1" applyBorder="1" applyAlignment="1">
      <alignment horizontal="center" vertical="center" wrapText="1"/>
    </xf>
    <xf numFmtId="165" fontId="9" fillId="16" borderId="48" xfId="0" applyNumberFormat="1" applyFont="1" applyFill="1" applyBorder="1" applyAlignment="1">
      <alignment horizontal="center" vertical="center" wrapText="1"/>
    </xf>
    <xf numFmtId="170" fontId="9" fillId="53" borderId="21" xfId="0" applyNumberFormat="1" applyFont="1" applyFill="1" applyBorder="1" applyAlignment="1">
      <alignment horizontal="center" vertical="center" wrapText="1"/>
    </xf>
    <xf numFmtId="10" fontId="9" fillId="53" borderId="22" xfId="0" applyNumberFormat="1" applyFont="1" applyFill="1" applyBorder="1" applyAlignment="1">
      <alignment horizontal="center" vertical="center" wrapText="1"/>
    </xf>
    <xf numFmtId="167" fontId="9" fillId="53" borderId="28" xfId="0" applyNumberFormat="1" applyFont="1" applyFill="1" applyBorder="1" applyAlignment="1">
      <alignment horizontal="center" vertical="center" wrapText="1"/>
    </xf>
    <xf numFmtId="10" fontId="9" fillId="53" borderId="29" xfId="0" applyNumberFormat="1" applyFont="1" applyFill="1" applyBorder="1" applyAlignment="1">
      <alignment horizontal="center" vertical="center" wrapText="1"/>
    </xf>
    <xf numFmtId="10" fontId="9" fillId="53" borderId="56" xfId="0" applyNumberFormat="1" applyFont="1" applyFill="1" applyBorder="1" applyAlignment="1">
      <alignment horizontal="center" vertical="center" wrapText="1"/>
    </xf>
    <xf numFmtId="179" fontId="9" fillId="53" borderId="21" xfId="0" applyNumberFormat="1" applyFont="1" applyFill="1" applyBorder="1" applyAlignment="1">
      <alignment horizontal="center" vertical="center" wrapText="1"/>
    </xf>
    <xf numFmtId="165" fontId="9" fillId="54" borderId="22" xfId="0" applyNumberFormat="1" applyFont="1" applyFill="1" applyBorder="1" applyAlignment="1">
      <alignment horizontal="center" vertical="center" wrapText="1"/>
    </xf>
    <xf numFmtId="4" fontId="9" fillId="6" borderId="0" xfId="0" applyNumberFormat="1" applyFont="1" applyFill="1"/>
    <xf numFmtId="10" fontId="9" fillId="62" borderId="6" xfId="1" applyNumberFormat="1" applyFont="1" applyFill="1" applyBorder="1" applyAlignment="1">
      <alignment horizontal="center" vertical="center" wrapText="1"/>
    </xf>
    <xf numFmtId="167" fontId="2" fillId="8" borderId="21" xfId="0" applyNumberFormat="1" applyFont="1" applyFill="1" applyBorder="1" applyAlignment="1">
      <alignment horizontal="center" vertical="center" wrapText="1"/>
    </xf>
    <xf numFmtId="165" fontId="9" fillId="62" borderId="22" xfId="0" applyNumberFormat="1" applyFont="1" applyFill="1" applyBorder="1" applyAlignment="1">
      <alignment horizontal="center" vertical="center" wrapText="1"/>
    </xf>
    <xf numFmtId="167" fontId="82" fillId="62" borderId="21" xfId="0" applyNumberFormat="1" applyFont="1" applyFill="1" applyBorder="1" applyAlignment="1">
      <alignment horizontal="center" vertical="center" wrapText="1"/>
    </xf>
    <xf numFmtId="9" fontId="9" fillId="18" borderId="6" xfId="1" applyNumberFormat="1" applyFont="1" applyFill="1" applyBorder="1" applyAlignment="1">
      <alignment horizontal="center" vertical="center" wrapText="1"/>
    </xf>
    <xf numFmtId="9" fontId="9" fillId="36" borderId="6" xfId="0" applyNumberFormat="1" applyFont="1" applyFill="1" applyBorder="1" applyAlignment="1">
      <alignment horizontal="center" vertical="center" wrapText="1"/>
    </xf>
    <xf numFmtId="167" fontId="9" fillId="79" borderId="21" xfId="0" applyNumberFormat="1" applyFont="1" applyFill="1" applyBorder="1" applyAlignment="1">
      <alignment horizontal="right" vertical="center" wrapText="1"/>
    </xf>
    <xf numFmtId="9" fontId="9" fillId="68" borderId="6" xfId="0" applyNumberFormat="1" applyFont="1" applyFill="1" applyBorder="1" applyAlignment="1">
      <alignment horizontal="center" vertical="center" wrapText="1"/>
    </xf>
    <xf numFmtId="176" fontId="9" fillId="0" borderId="59" xfId="2" applyNumberFormat="1" applyFont="1" applyFill="1" applyBorder="1" applyAlignment="1">
      <alignment horizontal="right" wrapText="1"/>
    </xf>
    <xf numFmtId="167" fontId="9" fillId="57" borderId="18" xfId="0" applyNumberFormat="1" applyFont="1" applyFill="1" applyBorder="1" applyAlignment="1">
      <alignment horizontal="center" vertical="center" wrapText="1"/>
    </xf>
    <xf numFmtId="10" fontId="9" fillId="57" borderId="93" xfId="0" applyNumberFormat="1" applyFont="1" applyFill="1" applyBorder="1" applyAlignment="1">
      <alignment horizontal="center" vertical="center" wrapText="1"/>
    </xf>
    <xf numFmtId="10" fontId="9" fillId="57" borderId="20" xfId="0" applyNumberFormat="1" applyFont="1" applyFill="1" applyBorder="1" applyAlignment="1">
      <alignment horizontal="center" vertical="center" wrapText="1"/>
    </xf>
    <xf numFmtId="167" fontId="9" fillId="48" borderId="18" xfId="0" applyNumberFormat="1" applyFont="1" applyFill="1" applyBorder="1" applyAlignment="1">
      <alignment horizontal="center" vertical="center" wrapText="1"/>
    </xf>
    <xf numFmtId="10" fontId="9" fillId="57" borderId="19" xfId="0" applyNumberFormat="1" applyFont="1" applyFill="1" applyBorder="1" applyAlignment="1">
      <alignment horizontal="center" vertical="center" wrapText="1"/>
    </xf>
    <xf numFmtId="0" fontId="9" fillId="57" borderId="20" xfId="0" applyFont="1" applyFill="1" applyBorder="1" applyAlignment="1">
      <alignment horizontal="center" vertical="center" wrapText="1"/>
    </xf>
    <xf numFmtId="166" fontId="9" fillId="57" borderId="20" xfId="0" applyNumberFormat="1" applyFont="1" applyFill="1" applyBorder="1" applyAlignment="1">
      <alignment horizontal="center" vertical="center" wrapText="1"/>
    </xf>
    <xf numFmtId="167" fontId="9" fillId="57" borderId="20" xfId="0" applyNumberFormat="1" applyFont="1" applyFill="1" applyBorder="1" applyAlignment="1">
      <alignment horizontal="center" vertical="center" wrapText="1"/>
    </xf>
    <xf numFmtId="10" fontId="9" fillId="68" borderId="19" xfId="0" applyNumberFormat="1" applyFont="1" applyFill="1" applyBorder="1" applyAlignment="1">
      <alignment horizontal="center" vertical="center" wrapText="1"/>
    </xf>
    <xf numFmtId="10" fontId="9" fillId="60" borderId="19" xfId="0" applyNumberFormat="1" applyFont="1" applyFill="1" applyBorder="1" applyAlignment="1">
      <alignment horizontal="center" vertical="center" wrapText="1"/>
    </xf>
    <xf numFmtId="0" fontId="9" fillId="60" borderId="20" xfId="0" applyFont="1" applyFill="1" applyBorder="1" applyAlignment="1">
      <alignment horizontal="center" vertical="center" wrapText="1"/>
    </xf>
    <xf numFmtId="10" fontId="9" fillId="56" borderId="19" xfId="0" applyNumberFormat="1" applyFont="1" applyFill="1" applyBorder="1" applyAlignment="1">
      <alignment horizontal="center" vertical="center" wrapText="1"/>
    </xf>
    <xf numFmtId="0" fontId="9" fillId="56" borderId="20" xfId="0" applyFont="1" applyFill="1" applyBorder="1" applyAlignment="1">
      <alignment horizontal="center" vertical="center" wrapText="1"/>
    </xf>
    <xf numFmtId="10" fontId="9" fillId="29" borderId="19" xfId="0" applyNumberFormat="1" applyFont="1" applyFill="1" applyBorder="1" applyAlignment="1">
      <alignment horizontal="center" vertical="center" wrapText="1"/>
    </xf>
    <xf numFmtId="167" fontId="2" fillId="9" borderId="38" xfId="0" applyNumberFormat="1" applyFont="1" applyFill="1" applyBorder="1" applyAlignment="1">
      <alignment horizontal="center" vertical="center" wrapText="1"/>
    </xf>
    <xf numFmtId="167" fontId="2" fillId="9" borderId="36" xfId="0" applyNumberFormat="1" applyFont="1" applyFill="1" applyBorder="1" applyAlignment="1">
      <alignment horizontal="center" vertical="center" wrapText="1"/>
    </xf>
    <xf numFmtId="167" fontId="13" fillId="9" borderId="36" xfId="0" applyNumberFormat="1" applyFont="1" applyFill="1" applyBorder="1" applyAlignment="1">
      <alignment horizontal="center" vertical="center" wrapText="1"/>
    </xf>
    <xf numFmtId="167" fontId="2" fillId="9" borderId="35" xfId="0" applyNumberFormat="1" applyFont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165" fontId="2" fillId="73" borderId="58" xfId="0" applyNumberFormat="1" applyFont="1" applyFill="1" applyBorder="1" applyAlignment="1">
      <alignment vertical="center" wrapText="1"/>
    </xf>
    <xf numFmtId="10" fontId="9" fillId="66" borderId="35" xfId="0" applyNumberFormat="1" applyFont="1" applyFill="1" applyBorder="1" applyAlignment="1">
      <alignment horizontal="center" vertical="center" wrapText="1"/>
    </xf>
    <xf numFmtId="170" fontId="2" fillId="66" borderId="34" xfId="0" applyNumberFormat="1" applyFont="1" applyFill="1" applyBorder="1" applyAlignment="1">
      <alignment horizontal="center" vertical="center" wrapText="1"/>
    </xf>
    <xf numFmtId="10" fontId="9" fillId="66" borderId="35" xfId="1" applyNumberFormat="1" applyFont="1" applyFill="1" applyBorder="1" applyAlignment="1">
      <alignment horizontal="center" vertical="center" wrapText="1"/>
    </xf>
    <xf numFmtId="167" fontId="9" fillId="66" borderId="34" xfId="0" applyNumberFormat="1" applyFont="1" applyFill="1" applyBorder="1" applyAlignment="1">
      <alignment horizontal="center" vertical="center" wrapText="1"/>
    </xf>
    <xf numFmtId="0" fontId="2" fillId="22" borderId="36" xfId="0" applyFont="1" applyFill="1" applyBorder="1" applyAlignment="1">
      <alignment horizontal="center" vertical="center" wrapText="1"/>
    </xf>
    <xf numFmtId="170" fontId="2" fillId="9" borderId="73" xfId="0" applyNumberFormat="1" applyFont="1" applyFill="1" applyBorder="1" applyAlignment="1">
      <alignment horizontal="center" vertical="center" wrapText="1"/>
    </xf>
    <xf numFmtId="2" fontId="9" fillId="28" borderId="69" xfId="0" applyNumberFormat="1" applyFont="1" applyFill="1" applyBorder="1" applyAlignment="1">
      <alignment horizontal="center" vertical="center" wrapText="1"/>
    </xf>
    <xf numFmtId="165" fontId="9" fillId="28" borderId="77" xfId="0" applyNumberFormat="1" applyFont="1" applyFill="1" applyBorder="1" applyAlignment="1">
      <alignment horizontal="center" vertical="center" wrapText="1"/>
    </xf>
    <xf numFmtId="165" fontId="9" fillId="28" borderId="38" xfId="0" applyNumberFormat="1" applyFont="1" applyFill="1" applyBorder="1" applyAlignment="1">
      <alignment horizontal="center" vertical="center" wrapText="1"/>
    </xf>
    <xf numFmtId="170" fontId="2" fillId="22" borderId="34" xfId="0" applyNumberFormat="1" applyFont="1" applyFill="1" applyBorder="1" applyAlignment="1">
      <alignment horizontal="right" vertical="center" wrapText="1"/>
    </xf>
    <xf numFmtId="0" fontId="2" fillId="22" borderId="49" xfId="0" applyFont="1" applyFill="1" applyBorder="1" applyAlignment="1">
      <alignment horizontal="left"/>
    </xf>
    <xf numFmtId="165" fontId="2" fillId="9" borderId="49" xfId="2" applyNumberFormat="1" applyFont="1" applyFill="1" applyBorder="1" applyAlignment="1">
      <alignment horizontal="right"/>
    </xf>
    <xf numFmtId="0" fontId="9" fillId="0" borderId="13" xfId="2" applyFont="1" applyBorder="1" applyAlignment="1">
      <alignment horizontal="right"/>
    </xf>
    <xf numFmtId="167" fontId="9" fillId="16" borderId="44" xfId="0" applyNumberFormat="1" applyFont="1" applyFill="1" applyBorder="1" applyAlignment="1">
      <alignment horizontal="center" vertical="center" wrapText="1"/>
    </xf>
    <xf numFmtId="165" fontId="9" fillId="16" borderId="45" xfId="0" applyNumberFormat="1" applyFont="1" applyFill="1" applyBorder="1" applyAlignment="1">
      <alignment horizontal="center" vertical="center" wrapText="1"/>
    </xf>
    <xf numFmtId="165" fontId="9" fillId="0" borderId="13" xfId="2" applyNumberFormat="1" applyFont="1" applyBorder="1" applyAlignment="1">
      <alignment horizontal="right"/>
    </xf>
    <xf numFmtId="0" fontId="9" fillId="0" borderId="59" xfId="2" applyFont="1" applyBorder="1" applyAlignment="1">
      <alignment horizontal="right"/>
    </xf>
    <xf numFmtId="10" fontId="9" fillId="12" borderId="93" xfId="0" applyNumberFormat="1" applyFont="1" applyFill="1" applyBorder="1" applyAlignment="1">
      <alignment horizontal="center" vertical="center" wrapText="1"/>
    </xf>
    <xf numFmtId="10" fontId="9" fillId="12" borderId="20" xfId="0" applyNumberFormat="1" applyFont="1" applyFill="1" applyBorder="1" applyAlignment="1">
      <alignment horizontal="center" vertical="center" wrapText="1"/>
    </xf>
    <xf numFmtId="10" fontId="9" fillId="12" borderId="19" xfId="0" applyNumberFormat="1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167" fontId="9" fillId="14" borderId="20" xfId="0" applyNumberFormat="1" applyFont="1" applyFill="1" applyBorder="1" applyAlignment="1">
      <alignment horizontal="center" vertical="center" wrapText="1"/>
    </xf>
    <xf numFmtId="10" fontId="9" fillId="15" borderId="19" xfId="0" applyNumberFormat="1" applyFont="1" applyFill="1" applyBorder="1" applyAlignment="1">
      <alignment horizontal="center" vertical="center" wrapText="1"/>
    </xf>
    <xf numFmtId="175" fontId="9" fillId="60" borderId="18" xfId="0" applyNumberFormat="1" applyFont="1" applyFill="1" applyBorder="1" applyAlignment="1">
      <alignment horizontal="center" vertical="center" wrapText="1"/>
    </xf>
    <xf numFmtId="175" fontId="9" fillId="56" borderId="18" xfId="0" applyNumberFormat="1" applyFont="1" applyFill="1" applyBorder="1" applyAlignment="1">
      <alignment horizontal="center" vertical="center" wrapText="1"/>
    </xf>
    <xf numFmtId="10" fontId="9" fillId="80" borderId="19" xfId="0" applyNumberFormat="1" applyFont="1" applyFill="1" applyBorder="1" applyAlignment="1">
      <alignment horizontal="center" vertical="center" wrapText="1"/>
    </xf>
    <xf numFmtId="167" fontId="9" fillId="16" borderId="32" xfId="0" applyNumberFormat="1" applyFont="1" applyFill="1" applyBorder="1" applyAlignment="1">
      <alignment horizontal="center" vertical="center" wrapText="1"/>
    </xf>
    <xf numFmtId="165" fontId="9" fillId="16" borderId="33" xfId="0" applyNumberFormat="1" applyFont="1" applyFill="1" applyBorder="1" applyAlignment="1">
      <alignment horizontal="center" vertical="center" wrapText="1"/>
    </xf>
    <xf numFmtId="10" fontId="9" fillId="17" borderId="20" xfId="0" applyNumberFormat="1" applyFont="1" applyFill="1" applyBorder="1" applyAlignment="1">
      <alignment horizontal="center" vertical="center" wrapText="1"/>
    </xf>
    <xf numFmtId="167" fontId="9" fillId="18" borderId="32" xfId="0" applyNumberFormat="1" applyFont="1" applyFill="1" applyBorder="1" applyAlignment="1">
      <alignment horizontal="center" vertical="center" wrapText="1"/>
    </xf>
    <xf numFmtId="10" fontId="9" fillId="18" borderId="30" xfId="0" applyNumberFormat="1" applyFont="1" applyFill="1" applyBorder="1" applyAlignment="1">
      <alignment horizontal="center" vertical="center" wrapText="1"/>
    </xf>
    <xf numFmtId="10" fontId="9" fillId="18" borderId="33" xfId="0" applyNumberFormat="1" applyFont="1" applyFill="1" applyBorder="1" applyAlignment="1">
      <alignment horizontal="center" vertical="center" wrapText="1"/>
    </xf>
    <xf numFmtId="10" fontId="9" fillId="18" borderId="51" xfId="0" applyNumberFormat="1" applyFont="1" applyFill="1" applyBorder="1" applyAlignment="1">
      <alignment horizontal="center" vertical="center" wrapText="1"/>
    </xf>
    <xf numFmtId="10" fontId="9" fillId="18" borderId="20" xfId="0" applyNumberFormat="1" applyFont="1" applyFill="1" applyBorder="1" applyAlignment="1">
      <alignment horizontal="center" vertical="center" wrapText="1"/>
    </xf>
    <xf numFmtId="10" fontId="9" fillId="19" borderId="19" xfId="0" applyNumberFormat="1" applyFont="1" applyFill="1" applyBorder="1" applyAlignment="1">
      <alignment horizontal="center" vertical="center" wrapText="1"/>
    </xf>
    <xf numFmtId="10" fontId="9" fillId="19" borderId="20" xfId="0" applyNumberFormat="1" applyFont="1" applyFill="1" applyBorder="1" applyAlignment="1">
      <alignment horizontal="center" vertical="center" wrapText="1"/>
    </xf>
    <xf numFmtId="167" fontId="9" fillId="36" borderId="18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/>
    </xf>
    <xf numFmtId="165" fontId="9" fillId="0" borderId="59" xfId="2" applyNumberFormat="1" applyFont="1" applyBorder="1" applyAlignment="1">
      <alignment horizontal="right"/>
    </xf>
    <xf numFmtId="167" fontId="2" fillId="66" borderId="38" xfId="0" applyNumberFormat="1" applyFont="1" applyFill="1" applyBorder="1" applyAlignment="1">
      <alignment horizontal="center" vertical="center" wrapText="1"/>
    </xf>
    <xf numFmtId="167" fontId="2" fillId="66" borderId="36" xfId="0" applyNumberFormat="1" applyFont="1" applyFill="1" applyBorder="1" applyAlignment="1">
      <alignment horizontal="center" vertical="center" wrapText="1"/>
    </xf>
    <xf numFmtId="167" fontId="13" fillId="66" borderId="36" xfId="0" applyNumberFormat="1" applyFont="1" applyFill="1" applyBorder="1" applyAlignment="1">
      <alignment horizontal="center" vertical="center" wrapText="1"/>
    </xf>
    <xf numFmtId="167" fontId="2" fillId="66" borderId="35" xfId="0" applyNumberFormat="1" applyFont="1" applyFill="1" applyBorder="1" applyAlignment="1">
      <alignment horizontal="center" vertical="center" wrapText="1"/>
    </xf>
    <xf numFmtId="179" fontId="9" fillId="66" borderId="34" xfId="0" applyNumberFormat="1" applyFont="1" applyFill="1" applyBorder="1" applyAlignment="1">
      <alignment horizontal="center" vertical="center" wrapText="1"/>
    </xf>
    <xf numFmtId="0" fontId="9" fillId="66" borderId="35" xfId="0" applyFont="1" applyFill="1" applyBorder="1" applyAlignment="1">
      <alignment horizontal="center" vertical="center" wrapText="1"/>
    </xf>
    <xf numFmtId="165" fontId="9" fillId="66" borderId="36" xfId="0" applyNumberFormat="1" applyFont="1" applyFill="1" applyBorder="1" applyAlignment="1">
      <alignment horizontal="center" vertical="center" wrapText="1"/>
    </xf>
    <xf numFmtId="167" fontId="9" fillId="6" borderId="49" xfId="0" applyNumberFormat="1" applyFont="1" applyFill="1" applyBorder="1" applyAlignment="1">
      <alignment horizontal="left"/>
    </xf>
    <xf numFmtId="165" fontId="9" fillId="6" borderId="13" xfId="2" applyNumberFormat="1" applyFont="1" applyFill="1" applyBorder="1" applyAlignment="1">
      <alignment horizontal="right"/>
    </xf>
    <xf numFmtId="167" fontId="9" fillId="14" borderId="16" xfId="0" applyNumberFormat="1" applyFont="1" applyFill="1" applyBorder="1" applyAlignment="1">
      <alignment horizontal="center" vertical="center" wrapText="1"/>
    </xf>
    <xf numFmtId="10" fontId="9" fillId="68" borderId="15" xfId="0" applyNumberFormat="1" applyFont="1" applyFill="1" applyBorder="1" applyAlignment="1">
      <alignment horizontal="center" vertical="center" wrapText="1"/>
    </xf>
    <xf numFmtId="10" fontId="9" fillId="17" borderId="16" xfId="0" applyNumberFormat="1" applyFont="1" applyFill="1" applyBorder="1" applyAlignment="1">
      <alignment horizontal="center" vertical="center" wrapText="1"/>
    </xf>
    <xf numFmtId="167" fontId="9" fillId="18" borderId="24" xfId="0" applyNumberFormat="1" applyFont="1" applyFill="1" applyBorder="1" applyAlignment="1">
      <alignment horizontal="center" vertical="center" wrapText="1"/>
    </xf>
    <xf numFmtId="10" fontId="9" fillId="18" borderId="7" xfId="0" applyNumberFormat="1" applyFont="1" applyFill="1" applyBorder="1" applyAlignment="1">
      <alignment horizontal="center" vertical="center" wrapText="1"/>
    </xf>
    <xf numFmtId="10" fontId="9" fillId="18" borderId="25" xfId="0" applyNumberFormat="1" applyFont="1" applyFill="1" applyBorder="1" applyAlignment="1">
      <alignment horizontal="center" vertical="center" wrapText="1"/>
    </xf>
    <xf numFmtId="10" fontId="9" fillId="18" borderId="52" xfId="0" applyNumberFormat="1" applyFont="1" applyFill="1" applyBorder="1" applyAlignment="1">
      <alignment horizontal="center" vertical="center" wrapText="1"/>
    </xf>
    <xf numFmtId="10" fontId="9" fillId="18" borderId="16" xfId="0" applyNumberFormat="1" applyFont="1" applyFill="1" applyBorder="1" applyAlignment="1">
      <alignment horizontal="center" vertical="center" wrapText="1"/>
    </xf>
    <xf numFmtId="10" fontId="9" fillId="19" borderId="15" xfId="0" applyNumberFormat="1" applyFont="1" applyFill="1" applyBorder="1" applyAlignment="1">
      <alignment horizontal="center" vertical="center" wrapText="1"/>
    </xf>
    <xf numFmtId="10" fontId="9" fillId="19" borderId="16" xfId="0" applyNumberFormat="1" applyFont="1" applyFill="1" applyBorder="1" applyAlignment="1">
      <alignment horizontal="center" vertical="center" wrapText="1"/>
    </xf>
    <xf numFmtId="167" fontId="9" fillId="36" borderId="14" xfId="0" applyNumberFormat="1" applyFont="1" applyFill="1" applyBorder="1" applyAlignment="1">
      <alignment horizontal="center" vertical="center" wrapText="1"/>
    </xf>
    <xf numFmtId="10" fontId="9" fillId="36" borderId="15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left"/>
    </xf>
    <xf numFmtId="165" fontId="9" fillId="6" borderId="10" xfId="2" applyNumberFormat="1" applyFont="1" applyFill="1" applyBorder="1" applyAlignment="1">
      <alignment horizontal="right"/>
    </xf>
    <xf numFmtId="167" fontId="9" fillId="68" borderId="65" xfId="0" applyNumberFormat="1" applyFont="1" applyFill="1" applyBorder="1" applyAlignment="1">
      <alignment horizontal="center" vertical="center" wrapText="1"/>
    </xf>
    <xf numFmtId="10" fontId="9" fillId="68" borderId="41" xfId="0" applyNumberFormat="1" applyFont="1" applyFill="1" applyBorder="1" applyAlignment="1">
      <alignment horizontal="center" vertical="center" wrapText="1"/>
    </xf>
    <xf numFmtId="170" fontId="9" fillId="49" borderId="65" xfId="0" applyNumberFormat="1" applyFont="1" applyFill="1" applyBorder="1" applyAlignment="1">
      <alignment horizontal="center" vertical="center" wrapText="1"/>
    </xf>
    <xf numFmtId="10" fontId="9" fillId="17" borderId="66" xfId="0" applyNumberFormat="1" applyFont="1" applyFill="1" applyBorder="1" applyAlignment="1">
      <alignment horizontal="center" vertical="center" wrapText="1"/>
    </xf>
    <xf numFmtId="10" fontId="9" fillId="18" borderId="41" xfId="0" applyNumberFormat="1" applyFont="1" applyFill="1" applyBorder="1" applyAlignment="1">
      <alignment horizontal="center" vertical="center" wrapText="1"/>
    </xf>
    <xf numFmtId="10" fontId="9" fillId="18" borderId="45" xfId="0" applyNumberFormat="1" applyFont="1" applyFill="1" applyBorder="1" applyAlignment="1">
      <alignment horizontal="center" vertical="center" wrapText="1"/>
    </xf>
    <xf numFmtId="10" fontId="9" fillId="18" borderId="0" xfId="0" applyNumberFormat="1" applyFont="1" applyFill="1" applyBorder="1" applyAlignment="1">
      <alignment horizontal="center" vertical="center" wrapText="1"/>
    </xf>
    <xf numFmtId="167" fontId="9" fillId="18" borderId="65" xfId="0" applyNumberFormat="1" applyFont="1" applyFill="1" applyBorder="1" applyAlignment="1">
      <alignment horizontal="center" vertical="center" wrapText="1"/>
    </xf>
    <xf numFmtId="10" fontId="9" fillId="18" borderId="41" xfId="1" applyNumberFormat="1" applyFont="1" applyFill="1" applyBorder="1" applyAlignment="1">
      <alignment horizontal="center" vertical="center" wrapText="1"/>
    </xf>
    <xf numFmtId="10" fontId="9" fillId="18" borderId="66" xfId="0" applyNumberFormat="1" applyFont="1" applyFill="1" applyBorder="1" applyAlignment="1">
      <alignment horizontal="center" vertical="center" wrapText="1"/>
    </xf>
    <xf numFmtId="167" fontId="9" fillId="19" borderId="65" xfId="0" applyNumberFormat="1" applyFont="1" applyFill="1" applyBorder="1" applyAlignment="1">
      <alignment horizontal="center" vertical="center" wrapText="1"/>
    </xf>
    <xf numFmtId="10" fontId="9" fillId="19" borderId="41" xfId="0" applyNumberFormat="1" applyFont="1" applyFill="1" applyBorder="1" applyAlignment="1">
      <alignment horizontal="center" vertical="center" wrapText="1"/>
    </xf>
    <xf numFmtId="10" fontId="9" fillId="19" borderId="66" xfId="0" applyNumberFormat="1" applyFont="1" applyFill="1" applyBorder="1" applyAlignment="1">
      <alignment horizontal="center" vertical="center" wrapText="1"/>
    </xf>
    <xf numFmtId="0" fontId="9" fillId="85" borderId="20" xfId="0" applyFont="1" applyFill="1" applyBorder="1"/>
    <xf numFmtId="0" fontId="9" fillId="60" borderId="20" xfId="0" applyFont="1" applyFill="1" applyBorder="1"/>
    <xf numFmtId="0" fontId="9" fillId="56" borderId="20" xfId="0" applyFont="1" applyFill="1" applyBorder="1"/>
    <xf numFmtId="0" fontId="9" fillId="55" borderId="20" xfId="0" applyFont="1" applyFill="1" applyBorder="1"/>
    <xf numFmtId="165" fontId="9" fillId="16" borderId="20" xfId="0" applyNumberFormat="1" applyFont="1" applyFill="1" applyBorder="1"/>
    <xf numFmtId="0" fontId="85" fillId="0" borderId="0" xfId="0" applyFont="1"/>
    <xf numFmtId="0" fontId="2" fillId="79" borderId="49" xfId="0" applyFont="1" applyFill="1" applyBorder="1"/>
    <xf numFmtId="167" fontId="2" fillId="14" borderId="34" xfId="0" applyNumberFormat="1" applyFont="1" applyFill="1" applyBorder="1" applyAlignment="1">
      <alignment horizontal="center" vertical="center" wrapText="1"/>
    </xf>
    <xf numFmtId="167" fontId="2" fillId="14" borderId="35" xfId="0" applyNumberFormat="1" applyFont="1" applyFill="1" applyBorder="1" applyAlignment="1">
      <alignment horizontal="center" vertical="center" wrapText="1"/>
    </xf>
    <xf numFmtId="167" fontId="2" fillId="14" borderId="36" xfId="0" applyNumberFormat="1" applyFont="1" applyFill="1" applyBorder="1" applyAlignment="1">
      <alignment horizontal="center" vertical="center" wrapText="1"/>
    </xf>
    <xf numFmtId="179" fontId="2" fillId="76" borderId="34" xfId="0" applyNumberFormat="1" applyFont="1" applyFill="1" applyBorder="1" applyAlignment="1">
      <alignment horizontal="center" vertical="center" wrapText="1"/>
    </xf>
    <xf numFmtId="167" fontId="13" fillId="76" borderId="36" xfId="0" applyNumberFormat="1" applyFont="1" applyFill="1" applyBorder="1" applyAlignment="1">
      <alignment horizontal="center" vertical="center" wrapText="1"/>
    </xf>
    <xf numFmtId="167" fontId="2" fillId="76" borderId="34" xfId="0" applyNumberFormat="1" applyFont="1" applyFill="1" applyBorder="1" applyAlignment="1">
      <alignment horizontal="center" vertical="center" wrapText="1"/>
    </xf>
    <xf numFmtId="167" fontId="2" fillId="76" borderId="35" xfId="0" applyNumberFormat="1" applyFont="1" applyFill="1" applyBorder="1" applyAlignment="1">
      <alignment horizontal="center" vertical="center" wrapText="1"/>
    </xf>
    <xf numFmtId="167" fontId="2" fillId="76" borderId="36" xfId="0" applyNumberFormat="1" applyFont="1" applyFill="1" applyBorder="1" applyAlignment="1">
      <alignment horizontal="center" vertical="center" wrapText="1"/>
    </xf>
    <xf numFmtId="0" fontId="2" fillId="46" borderId="58" xfId="0" applyFont="1" applyFill="1" applyBorder="1" applyAlignment="1">
      <alignment horizontal="left" vertical="center" wrapText="1"/>
    </xf>
    <xf numFmtId="167" fontId="2" fillId="16" borderId="34" xfId="0" applyNumberFormat="1" applyFont="1" applyFill="1" applyBorder="1" applyAlignment="1">
      <alignment horizontal="center" vertical="center" wrapText="1"/>
    </xf>
    <xf numFmtId="167" fontId="2" fillId="16" borderId="35" xfId="0" applyNumberFormat="1" applyFont="1" applyFill="1" applyBorder="1" applyAlignment="1">
      <alignment horizontal="center" vertical="center" wrapText="1"/>
    </xf>
    <xf numFmtId="167" fontId="2" fillId="16" borderId="36" xfId="0" applyNumberFormat="1" applyFont="1" applyFill="1" applyBorder="1" applyAlignment="1">
      <alignment horizontal="center" vertical="center" wrapText="1"/>
    </xf>
    <xf numFmtId="170" fontId="2" fillId="16" borderId="34" xfId="0" applyNumberFormat="1" applyFont="1" applyFill="1" applyBorder="1" applyAlignment="1">
      <alignment horizontal="center" vertical="center" wrapText="1"/>
    </xf>
    <xf numFmtId="167" fontId="2" fillId="16" borderId="43" xfId="0" applyNumberFormat="1" applyFont="1" applyFill="1" applyBorder="1" applyAlignment="1">
      <alignment horizontal="center" vertical="center" wrapText="1"/>
    </xf>
    <xf numFmtId="167" fontId="2" fillId="16" borderId="40" xfId="0" applyNumberFormat="1" applyFont="1" applyFill="1" applyBorder="1" applyAlignment="1">
      <alignment horizontal="center" vertical="center" wrapText="1"/>
    </xf>
    <xf numFmtId="167" fontId="2" fillId="16" borderId="42" xfId="0" applyNumberFormat="1" applyFont="1" applyFill="1" applyBorder="1" applyAlignment="1">
      <alignment horizontal="center" vertical="center" wrapText="1"/>
    </xf>
    <xf numFmtId="167" fontId="2" fillId="36" borderId="58" xfId="0" applyNumberFormat="1" applyFont="1" applyFill="1" applyBorder="1" applyAlignment="1">
      <alignment horizontal="left" vertical="center" wrapText="1"/>
    </xf>
    <xf numFmtId="167" fontId="2" fillId="36" borderId="34" xfId="0" applyNumberFormat="1" applyFont="1" applyFill="1" applyBorder="1" applyAlignment="1">
      <alignment horizontal="center" vertical="center" wrapText="1"/>
    </xf>
    <xf numFmtId="167" fontId="2" fillId="36" borderId="35" xfId="0" applyNumberFormat="1" applyFont="1" applyFill="1" applyBorder="1" applyAlignment="1">
      <alignment horizontal="center" vertical="center" wrapText="1"/>
    </xf>
    <xf numFmtId="167" fontId="2" fillId="36" borderId="36" xfId="0" applyNumberFormat="1" applyFont="1" applyFill="1" applyBorder="1" applyAlignment="1">
      <alignment horizontal="center" vertical="center" wrapText="1"/>
    </xf>
    <xf numFmtId="167" fontId="2" fillId="36" borderId="73" xfId="0" applyNumberFormat="1" applyFont="1" applyFill="1" applyBorder="1" applyAlignment="1">
      <alignment horizontal="center" vertical="center" wrapText="1"/>
    </xf>
    <xf numFmtId="167" fontId="2" fillId="36" borderId="69" xfId="0" applyNumberFormat="1" applyFont="1" applyFill="1" applyBorder="1" applyAlignment="1">
      <alignment horizontal="center" vertical="center" wrapText="1"/>
    </xf>
    <xf numFmtId="167" fontId="2" fillId="36" borderId="77" xfId="0" applyNumberFormat="1" applyFont="1" applyFill="1" applyBorder="1" applyAlignment="1">
      <alignment horizontal="center" vertical="center" wrapText="1"/>
    </xf>
    <xf numFmtId="170" fontId="2" fillId="79" borderId="34" xfId="0" applyNumberFormat="1" applyFont="1" applyFill="1" applyBorder="1" applyAlignment="1">
      <alignment horizontal="right" vertical="center" wrapText="1"/>
    </xf>
    <xf numFmtId="0" fontId="2" fillId="9" borderId="49" xfId="0" applyFont="1" applyFill="1" applyBorder="1"/>
    <xf numFmtId="187" fontId="9" fillId="0" borderId="0" xfId="0" applyNumberFormat="1" applyFont="1"/>
    <xf numFmtId="170" fontId="9" fillId="0" borderId="0" xfId="0" applyNumberFormat="1" applyFont="1"/>
    <xf numFmtId="0" fontId="9" fillId="0" borderId="0" xfId="0" applyFont="1" applyFill="1"/>
    <xf numFmtId="165" fontId="9" fillId="0" borderId="0" xfId="0" applyNumberFormat="1" applyFont="1" applyFill="1"/>
    <xf numFmtId="165" fontId="9" fillId="6" borderId="0" xfId="0" applyNumberFormat="1" applyFont="1" applyFill="1" applyAlignment="1">
      <alignment horizontal="left"/>
    </xf>
    <xf numFmtId="167" fontId="9" fillId="0" borderId="0" xfId="0" applyNumberFormat="1" applyFont="1" applyAlignment="1">
      <alignment horizontal="left"/>
    </xf>
    <xf numFmtId="167" fontId="9" fillId="6" borderId="0" xfId="0" applyNumberFormat="1" applyFont="1" applyFill="1" applyBorder="1" applyAlignment="1">
      <alignment horizontal="left"/>
    </xf>
    <xf numFmtId="179" fontId="82" fillId="0" borderId="0" xfId="0" applyNumberFormat="1" applyFont="1"/>
    <xf numFmtId="0" fontId="82" fillId="0" borderId="0" xfId="0" applyFont="1"/>
    <xf numFmtId="167" fontId="9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179" fontId="2" fillId="32" borderId="35" xfId="0" applyNumberFormat="1" applyFont="1" applyFill="1" applyBorder="1" applyAlignment="1">
      <alignment horizontal="center" vertical="center" wrapText="1"/>
    </xf>
    <xf numFmtId="167" fontId="13" fillId="32" borderId="38" xfId="0" applyNumberFormat="1" applyFont="1" applyFill="1" applyBorder="1" applyAlignment="1">
      <alignment horizontal="center" vertical="center" wrapText="1"/>
    </xf>
    <xf numFmtId="167" fontId="2" fillId="32" borderId="34" xfId="0" applyNumberFormat="1" applyFont="1" applyFill="1" applyBorder="1" applyAlignment="1">
      <alignment horizontal="center" vertical="center" wrapText="1"/>
    </xf>
    <xf numFmtId="167" fontId="2" fillId="32" borderId="35" xfId="0" applyNumberFormat="1" applyFont="1" applyFill="1" applyBorder="1" applyAlignment="1">
      <alignment horizontal="center" vertical="center" wrapText="1"/>
    </xf>
    <xf numFmtId="167" fontId="2" fillId="32" borderId="36" xfId="0" applyNumberFormat="1" applyFont="1" applyFill="1" applyBorder="1" applyAlignment="1">
      <alignment horizontal="center" vertical="center" wrapText="1"/>
    </xf>
    <xf numFmtId="167" fontId="2" fillId="14" borderId="37" xfId="0" applyNumberFormat="1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46" borderId="61" xfId="0" applyFont="1" applyFill="1" applyBorder="1" applyAlignment="1">
      <alignment horizontal="left" vertical="center" wrapText="1"/>
    </xf>
    <xf numFmtId="170" fontId="2" fillId="16" borderId="37" xfId="0" applyNumberFormat="1" applyFont="1" applyFill="1" applyBorder="1" applyAlignment="1">
      <alignment horizontal="center" vertical="center" wrapText="1"/>
    </xf>
    <xf numFmtId="167" fontId="2" fillId="16" borderId="38" xfId="0" applyNumberFormat="1" applyFont="1" applyFill="1" applyBorder="1" applyAlignment="1">
      <alignment horizontal="center" vertical="center" wrapText="1"/>
    </xf>
    <xf numFmtId="167" fontId="2" fillId="16" borderId="37" xfId="0" applyNumberFormat="1" applyFont="1" applyFill="1" applyBorder="1" applyAlignment="1">
      <alignment horizontal="center" vertical="center" wrapText="1"/>
    </xf>
    <xf numFmtId="167" fontId="2" fillId="67" borderId="61" xfId="0" applyNumberFormat="1" applyFont="1" applyFill="1" applyBorder="1" applyAlignment="1">
      <alignment horizontal="center" vertical="center" wrapText="1"/>
    </xf>
    <xf numFmtId="167" fontId="2" fillId="36" borderId="80" xfId="0" applyNumberFormat="1" applyFont="1" applyFill="1" applyBorder="1" applyAlignment="1">
      <alignment horizontal="left" vertical="center" wrapText="1"/>
    </xf>
    <xf numFmtId="167" fontId="2" fillId="36" borderId="80" xfId="0" applyNumberFormat="1" applyFont="1" applyFill="1" applyBorder="1" applyAlignment="1">
      <alignment horizontal="center" vertical="center" wrapText="1"/>
    </xf>
    <xf numFmtId="167" fontId="2" fillId="36" borderId="81" xfId="0" applyNumberFormat="1" applyFont="1" applyFill="1" applyBorder="1" applyAlignment="1">
      <alignment horizontal="center" vertical="center" wrapText="1"/>
    </xf>
    <xf numFmtId="167" fontId="2" fillId="36" borderId="38" xfId="0" applyNumberFormat="1" applyFont="1" applyFill="1" applyBorder="1" applyAlignment="1">
      <alignment horizontal="center" vertical="center" wrapText="1"/>
    </xf>
    <xf numFmtId="167" fontId="2" fillId="36" borderId="37" xfId="0" applyNumberFormat="1" applyFont="1" applyFill="1" applyBorder="1" applyAlignment="1">
      <alignment horizontal="center" vertical="center" wrapText="1"/>
    </xf>
    <xf numFmtId="170" fontId="2" fillId="14" borderId="80" xfId="0" applyNumberFormat="1" applyFont="1" applyFill="1" applyBorder="1" applyAlignment="1">
      <alignment horizontal="right" vertical="center" wrapText="1"/>
    </xf>
    <xf numFmtId="0" fontId="2" fillId="0" borderId="82" xfId="0" applyFont="1" applyBorder="1" applyAlignment="1">
      <alignment horizontal="left"/>
    </xf>
    <xf numFmtId="167" fontId="9" fillId="8" borderId="49" xfId="0" applyNumberFormat="1" applyFont="1" applyFill="1" applyBorder="1" applyAlignment="1">
      <alignment horizontal="left"/>
    </xf>
    <xf numFmtId="175" fontId="9" fillId="0" borderId="61" xfId="0" applyNumberFormat="1" applyFont="1" applyBorder="1"/>
    <xf numFmtId="0" fontId="2" fillId="0" borderId="49" xfId="0" applyFont="1" applyBorder="1"/>
    <xf numFmtId="9" fontId="9" fillId="0" borderId="0" xfId="1" applyFont="1" applyFill="1" applyBorder="1" applyAlignment="1" applyProtection="1"/>
    <xf numFmtId="9" fontId="82" fillId="0" borderId="0" xfId="1" applyFont="1" applyFill="1" applyBorder="1" applyAlignment="1" applyProtection="1"/>
    <xf numFmtId="170" fontId="9" fillId="0" borderId="0" xfId="0" applyNumberFormat="1" applyFont="1" applyFill="1"/>
    <xf numFmtId="0" fontId="86" fillId="0" borderId="0" xfId="0" applyFont="1"/>
    <xf numFmtId="0" fontId="13" fillId="79" borderId="49" xfId="0" applyFont="1" applyFill="1" applyBorder="1"/>
    <xf numFmtId="167" fontId="13" fillId="14" borderId="34" xfId="0" applyNumberFormat="1" applyFont="1" applyFill="1" applyBorder="1" applyAlignment="1">
      <alignment horizontal="center" vertical="center" wrapText="1"/>
    </xf>
    <xf numFmtId="167" fontId="13" fillId="14" borderId="35" xfId="0" applyNumberFormat="1" applyFont="1" applyFill="1" applyBorder="1" applyAlignment="1">
      <alignment horizontal="center" vertical="center" wrapText="1"/>
    </xf>
    <xf numFmtId="167" fontId="13" fillId="14" borderId="36" xfId="0" applyNumberFormat="1" applyFont="1" applyFill="1" applyBorder="1" applyAlignment="1">
      <alignment horizontal="center" vertical="center" wrapText="1"/>
    </xf>
    <xf numFmtId="179" fontId="13" fillId="32" borderId="35" xfId="0" applyNumberFormat="1" applyFont="1" applyFill="1" applyBorder="1" applyAlignment="1">
      <alignment horizontal="center" vertical="center" wrapText="1"/>
    </xf>
    <xf numFmtId="167" fontId="13" fillId="32" borderId="34" xfId="0" applyNumberFormat="1" applyFont="1" applyFill="1" applyBorder="1" applyAlignment="1">
      <alignment horizontal="center" vertical="center" wrapText="1"/>
    </xf>
    <xf numFmtId="167" fontId="13" fillId="32" borderId="35" xfId="0" applyNumberFormat="1" applyFont="1" applyFill="1" applyBorder="1" applyAlignment="1">
      <alignment horizontal="center" vertical="center" wrapText="1"/>
    </xf>
    <xf numFmtId="167" fontId="13" fillId="32" borderId="36" xfId="0" applyNumberFormat="1" applyFont="1" applyFill="1" applyBorder="1" applyAlignment="1">
      <alignment horizontal="center" vertical="center" wrapText="1"/>
    </xf>
    <xf numFmtId="167" fontId="13" fillId="14" borderId="37" xfId="0" applyNumberFormat="1" applyFont="1" applyFill="1" applyBorder="1" applyAlignment="1">
      <alignment horizontal="center" vertical="center" wrapText="1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36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3" fillId="46" borderId="61" xfId="0" applyFont="1" applyFill="1" applyBorder="1" applyAlignment="1">
      <alignment horizontal="center" vertical="center" wrapText="1"/>
    </xf>
    <xf numFmtId="167" fontId="13" fillId="16" borderId="34" xfId="0" applyNumberFormat="1" applyFont="1" applyFill="1" applyBorder="1" applyAlignment="1">
      <alignment horizontal="center" vertical="center" wrapText="1"/>
    </xf>
    <xf numFmtId="167" fontId="13" fillId="16" borderId="35" xfId="0" applyNumberFormat="1" applyFont="1" applyFill="1" applyBorder="1" applyAlignment="1">
      <alignment horizontal="center" vertical="center" wrapText="1"/>
    </xf>
    <xf numFmtId="167" fontId="13" fillId="16" borderId="36" xfId="0" applyNumberFormat="1" applyFont="1" applyFill="1" applyBorder="1" applyAlignment="1">
      <alignment horizontal="center" vertical="center" wrapText="1"/>
    </xf>
    <xf numFmtId="170" fontId="13" fillId="16" borderId="37" xfId="0" applyNumberFormat="1" applyFont="1" applyFill="1" applyBorder="1" applyAlignment="1">
      <alignment horizontal="center" vertical="center" wrapText="1"/>
    </xf>
    <xf numFmtId="167" fontId="13" fillId="16" borderId="38" xfId="0" applyNumberFormat="1" applyFont="1" applyFill="1" applyBorder="1" applyAlignment="1">
      <alignment horizontal="center" vertical="center" wrapText="1"/>
    </xf>
    <xf numFmtId="167" fontId="13" fillId="16" borderId="37" xfId="0" applyNumberFormat="1" applyFont="1" applyFill="1" applyBorder="1" applyAlignment="1">
      <alignment horizontal="center" vertical="center" wrapText="1"/>
    </xf>
    <xf numFmtId="167" fontId="13" fillId="67" borderId="61" xfId="0" applyNumberFormat="1" applyFont="1" applyFill="1" applyBorder="1" applyAlignment="1">
      <alignment horizontal="center" vertical="center" wrapText="1"/>
    </xf>
    <xf numFmtId="167" fontId="13" fillId="36" borderId="80" xfId="0" applyNumberFormat="1" applyFont="1" applyFill="1" applyBorder="1" applyAlignment="1">
      <alignment horizontal="left" vertical="center" wrapText="1"/>
    </xf>
    <xf numFmtId="167" fontId="13" fillId="36" borderId="80" xfId="0" applyNumberFormat="1" applyFont="1" applyFill="1" applyBorder="1" applyAlignment="1">
      <alignment horizontal="center" vertical="center" wrapText="1"/>
    </xf>
    <xf numFmtId="167" fontId="13" fillId="36" borderId="35" xfId="0" applyNumberFormat="1" applyFont="1" applyFill="1" applyBorder="1" applyAlignment="1">
      <alignment horizontal="center" vertical="center" wrapText="1"/>
    </xf>
    <xf numFmtId="167" fontId="13" fillId="36" borderId="81" xfId="0" applyNumberFormat="1" applyFont="1" applyFill="1" applyBorder="1" applyAlignment="1">
      <alignment horizontal="center" vertical="center" wrapText="1"/>
    </xf>
    <xf numFmtId="167" fontId="13" fillId="36" borderId="61" xfId="0" applyNumberFormat="1" applyFont="1" applyFill="1" applyBorder="1" applyAlignment="1">
      <alignment horizontal="center" vertical="center" wrapText="1"/>
    </xf>
    <xf numFmtId="170" fontId="13" fillId="14" borderId="80" xfId="0" applyNumberFormat="1" applyFont="1" applyFill="1" applyBorder="1" applyAlignment="1">
      <alignment horizontal="right" vertical="center" wrapText="1"/>
    </xf>
    <xf numFmtId="0" fontId="13" fillId="0" borderId="82" xfId="0" applyFont="1" applyBorder="1" applyAlignment="1">
      <alignment horizontal="left"/>
    </xf>
    <xf numFmtId="167" fontId="82" fillId="8" borderId="49" xfId="0" applyNumberFormat="1" applyFont="1" applyFill="1" applyBorder="1" applyAlignment="1">
      <alignment horizontal="left"/>
    </xf>
    <xf numFmtId="167" fontId="82" fillId="0" borderId="0" xfId="0" applyNumberFormat="1" applyFont="1"/>
    <xf numFmtId="175" fontId="82" fillId="0" borderId="0" xfId="0" applyNumberFormat="1" applyFont="1"/>
    <xf numFmtId="0" fontId="13" fillId="0" borderId="49" xfId="0" applyFont="1" applyBorder="1"/>
    <xf numFmtId="0" fontId="13" fillId="79" borderId="9" xfId="0" applyFont="1" applyFill="1" applyBorder="1"/>
    <xf numFmtId="167" fontId="13" fillId="14" borderId="43" xfId="0" applyNumberFormat="1" applyFont="1" applyFill="1" applyBorder="1" applyAlignment="1">
      <alignment horizontal="center" vertical="center" wrapText="1"/>
    </xf>
    <xf numFmtId="167" fontId="13" fillId="14" borderId="40" xfId="0" applyNumberFormat="1" applyFont="1" applyFill="1" applyBorder="1" applyAlignment="1">
      <alignment horizontal="center" vertical="center" wrapText="1"/>
    </xf>
    <xf numFmtId="167" fontId="13" fillId="14" borderId="42" xfId="0" applyNumberFormat="1" applyFont="1" applyFill="1" applyBorder="1" applyAlignment="1">
      <alignment horizontal="center" vertical="center" wrapText="1"/>
    </xf>
    <xf numFmtId="179" fontId="13" fillId="32" borderId="40" xfId="0" applyNumberFormat="1" applyFont="1" applyFill="1" applyBorder="1" applyAlignment="1">
      <alignment horizontal="center" vertical="center" wrapText="1"/>
    </xf>
    <xf numFmtId="167" fontId="13" fillId="32" borderId="71" xfId="0" applyNumberFormat="1" applyFont="1" applyFill="1" applyBorder="1" applyAlignment="1">
      <alignment horizontal="center" vertical="center" wrapText="1"/>
    </xf>
    <xf numFmtId="167" fontId="13" fillId="32" borderId="43" xfId="0" applyNumberFormat="1" applyFont="1" applyFill="1" applyBorder="1" applyAlignment="1">
      <alignment horizontal="center" vertical="center" wrapText="1"/>
    </xf>
    <xf numFmtId="167" fontId="13" fillId="32" borderId="40" xfId="0" applyNumberFormat="1" applyFont="1" applyFill="1" applyBorder="1" applyAlignment="1">
      <alignment horizontal="center" vertical="center" wrapText="1"/>
    </xf>
    <xf numFmtId="167" fontId="13" fillId="32" borderId="42" xfId="0" applyNumberFormat="1" applyFont="1" applyFill="1" applyBorder="1" applyAlignment="1">
      <alignment horizontal="center" vertical="center" wrapText="1"/>
    </xf>
    <xf numFmtId="167" fontId="13" fillId="14" borderId="39" xfId="0" applyNumberFormat="1" applyFont="1" applyFill="1" applyBorder="1" applyAlignment="1">
      <alignment horizontal="center" vertical="center" wrapText="1"/>
    </xf>
    <xf numFmtId="0" fontId="13" fillId="14" borderId="40" xfId="0" applyFont="1" applyFill="1" applyBorder="1" applyAlignment="1">
      <alignment horizontal="center" vertical="center" wrapText="1"/>
    </xf>
    <xf numFmtId="0" fontId="13" fillId="14" borderId="42" xfId="0" applyFont="1" applyFill="1" applyBorder="1" applyAlignment="1">
      <alignment horizontal="center" vertical="center" wrapText="1"/>
    </xf>
    <xf numFmtId="0" fontId="13" fillId="3" borderId="87" xfId="0" applyFont="1" applyFill="1" applyBorder="1" applyAlignment="1">
      <alignment horizontal="center" vertical="center" wrapText="1"/>
    </xf>
    <xf numFmtId="0" fontId="13" fillId="46" borderId="27" xfId="0" applyFont="1" applyFill="1" applyBorder="1" applyAlignment="1">
      <alignment horizontal="center" vertical="center" wrapText="1"/>
    </xf>
    <xf numFmtId="167" fontId="13" fillId="16" borderId="43" xfId="0" applyNumberFormat="1" applyFont="1" applyFill="1" applyBorder="1" applyAlignment="1">
      <alignment horizontal="center" vertical="center" wrapText="1"/>
    </xf>
    <xf numFmtId="167" fontId="13" fillId="16" borderId="40" xfId="0" applyNumberFormat="1" applyFont="1" applyFill="1" applyBorder="1" applyAlignment="1">
      <alignment horizontal="center" vertical="center" wrapText="1"/>
    </xf>
    <xf numFmtId="167" fontId="13" fillId="16" borderId="42" xfId="0" applyNumberFormat="1" applyFont="1" applyFill="1" applyBorder="1" applyAlignment="1">
      <alignment horizontal="center" vertical="center" wrapText="1"/>
    </xf>
    <xf numFmtId="170" fontId="13" fillId="16" borderId="39" xfId="0" applyNumberFormat="1" applyFont="1" applyFill="1" applyBorder="1" applyAlignment="1">
      <alignment horizontal="center" vertical="center" wrapText="1"/>
    </xf>
    <xf numFmtId="167" fontId="13" fillId="16" borderId="71" xfId="0" applyNumberFormat="1" applyFont="1" applyFill="1" applyBorder="1" applyAlignment="1">
      <alignment horizontal="center" vertical="center" wrapText="1"/>
    </xf>
    <xf numFmtId="167" fontId="13" fillId="16" borderId="39" xfId="0" applyNumberFormat="1" applyFont="1" applyFill="1" applyBorder="1" applyAlignment="1">
      <alignment horizontal="center" vertical="center" wrapText="1"/>
    </xf>
    <xf numFmtId="167" fontId="13" fillId="67" borderId="27" xfId="0" applyNumberFormat="1" applyFont="1" applyFill="1" applyBorder="1" applyAlignment="1">
      <alignment horizontal="center" vertical="center" wrapText="1"/>
    </xf>
    <xf numFmtId="167" fontId="13" fillId="36" borderId="85" xfId="0" applyNumberFormat="1" applyFont="1" applyFill="1" applyBorder="1" applyAlignment="1">
      <alignment horizontal="left" vertical="center" wrapText="1"/>
    </xf>
    <xf numFmtId="167" fontId="13" fillId="36" borderId="85" xfId="0" applyNumberFormat="1" applyFont="1" applyFill="1" applyBorder="1" applyAlignment="1">
      <alignment horizontal="center" vertical="center" wrapText="1"/>
    </xf>
    <xf numFmtId="167" fontId="13" fillId="36" borderId="40" xfId="0" applyNumberFormat="1" applyFont="1" applyFill="1" applyBorder="1" applyAlignment="1">
      <alignment horizontal="center" vertical="center" wrapText="1"/>
    </xf>
    <xf numFmtId="167" fontId="13" fillId="36" borderId="86" xfId="0" applyNumberFormat="1" applyFont="1" applyFill="1" applyBorder="1" applyAlignment="1">
      <alignment horizontal="center" vertical="center" wrapText="1"/>
    </xf>
    <xf numFmtId="167" fontId="13" fillId="36" borderId="27" xfId="0" applyNumberFormat="1" applyFont="1" applyFill="1" applyBorder="1" applyAlignment="1">
      <alignment horizontal="center" vertical="center" wrapText="1"/>
    </xf>
    <xf numFmtId="170" fontId="13" fillId="14" borderId="85" xfId="0" applyNumberFormat="1" applyFont="1" applyFill="1" applyBorder="1" applyAlignment="1">
      <alignment horizontal="right" vertical="center" wrapText="1"/>
    </xf>
    <xf numFmtId="0" fontId="13" fillId="0" borderId="88" xfId="0" applyFont="1" applyBorder="1" applyAlignment="1">
      <alignment horizontal="left"/>
    </xf>
    <xf numFmtId="167" fontId="82" fillId="8" borderId="9" xfId="0" applyNumberFormat="1" applyFont="1" applyFill="1" applyBorder="1" applyAlignment="1">
      <alignment horizontal="left"/>
    </xf>
    <xf numFmtId="0" fontId="13" fillId="0" borderId="9" xfId="0" applyFont="1" applyBorder="1"/>
    <xf numFmtId="165" fontId="9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right"/>
    </xf>
    <xf numFmtId="9" fontId="9" fillId="0" borderId="0" xfId="1" applyFont="1" applyFill="1" applyAlignment="1">
      <alignment horizontal="right"/>
    </xf>
    <xf numFmtId="10" fontId="9" fillId="0" borderId="0" xfId="0" applyNumberFormat="1" applyFont="1" applyFill="1" applyAlignment="1">
      <alignment horizontal="right"/>
    </xf>
    <xf numFmtId="164" fontId="9" fillId="0" borderId="0" xfId="5" applyFont="1"/>
    <xf numFmtId="167" fontId="2" fillId="36" borderId="14" xfId="0" applyNumberFormat="1" applyFont="1" applyFill="1" applyBorder="1" applyAlignment="1">
      <alignment horizontal="center" vertical="center" wrapText="1"/>
    </xf>
    <xf numFmtId="2" fontId="17" fillId="27" borderId="48" xfId="0" applyNumberFormat="1" applyFont="1" applyFill="1" applyBorder="1" applyAlignment="1">
      <alignment horizontal="center" vertical="center" wrapText="1"/>
    </xf>
    <xf numFmtId="9" fontId="1" fillId="0" borderId="29" xfId="2" applyNumberFormat="1" applyBorder="1" applyAlignment="1">
      <alignment vertical="center" wrapText="1"/>
    </xf>
    <xf numFmtId="9" fontId="1" fillId="0" borderId="56" xfId="2" applyNumberFormat="1" applyBorder="1" applyAlignment="1">
      <alignment vertical="center" wrapText="1"/>
    </xf>
    <xf numFmtId="0" fontId="27" fillId="32" borderId="33" xfId="0" applyFont="1" applyFill="1" applyBorder="1" applyAlignment="1">
      <alignment vertical="center" wrapText="1" shrinkToFit="1"/>
    </xf>
    <xf numFmtId="0" fontId="27" fillId="32" borderId="51" xfId="0" applyFont="1" applyFill="1" applyBorder="1" applyAlignment="1">
      <alignment vertical="center" wrapText="1" shrinkToFit="1"/>
    </xf>
    <xf numFmtId="0" fontId="27" fillId="32" borderId="25" xfId="0" applyFont="1" applyFill="1" applyBorder="1" applyAlignment="1">
      <alignment vertical="center" wrapText="1" shrinkToFit="1"/>
    </xf>
    <xf numFmtId="0" fontId="27" fillId="32" borderId="52" xfId="0" applyFont="1" applyFill="1" applyBorder="1" applyAlignment="1">
      <alignment vertical="center" wrapText="1" shrinkToFit="1"/>
    </xf>
    <xf numFmtId="167" fontId="9" fillId="88" borderId="92" xfId="0" applyNumberFormat="1" applyFont="1" applyFill="1" applyBorder="1" applyAlignment="1">
      <alignment horizontal="center" vertical="center" wrapText="1"/>
    </xf>
    <xf numFmtId="0" fontId="9" fillId="88" borderId="15" xfId="0" applyFont="1" applyFill="1" applyBorder="1" applyAlignment="1">
      <alignment horizontal="center" vertical="center" wrapText="1"/>
    </xf>
    <xf numFmtId="165" fontId="9" fillId="88" borderId="26" xfId="0" applyNumberFormat="1" applyFont="1" applyFill="1" applyBorder="1" applyAlignment="1">
      <alignment horizontal="center" vertical="center" wrapText="1"/>
    </xf>
    <xf numFmtId="167" fontId="9" fillId="88" borderId="28" xfId="0" applyNumberFormat="1" applyFont="1" applyFill="1" applyBorder="1" applyAlignment="1">
      <alignment horizontal="center" vertical="center" wrapText="1"/>
    </xf>
    <xf numFmtId="0" fontId="9" fillId="88" borderId="6" xfId="0" applyFont="1" applyFill="1" applyBorder="1" applyAlignment="1">
      <alignment horizontal="center" vertical="center" wrapText="1"/>
    </xf>
    <xf numFmtId="165" fontId="9" fillId="88" borderId="29" xfId="0" applyNumberFormat="1" applyFont="1" applyFill="1" applyBorder="1" applyAlignment="1">
      <alignment horizontal="center" vertical="center" wrapText="1"/>
    </xf>
    <xf numFmtId="167" fontId="9" fillId="88" borderId="96" xfId="0" applyNumberFormat="1" applyFont="1" applyFill="1" applyBorder="1" applyAlignment="1">
      <alignment horizontal="center" vertical="center" wrapText="1"/>
    </xf>
    <xf numFmtId="0" fontId="9" fillId="88" borderId="19" xfId="0" applyFont="1" applyFill="1" applyBorder="1" applyAlignment="1">
      <alignment horizontal="center" vertical="center" wrapText="1"/>
    </xf>
    <xf numFmtId="165" fontId="9" fillId="88" borderId="93" xfId="0" applyNumberFormat="1" applyFont="1" applyFill="1" applyBorder="1" applyAlignment="1">
      <alignment horizontal="center" vertical="center" wrapText="1"/>
    </xf>
    <xf numFmtId="167" fontId="9" fillId="88" borderId="14" xfId="0" applyNumberFormat="1" applyFont="1" applyFill="1" applyBorder="1" applyAlignment="1">
      <alignment horizontal="center" vertical="center" wrapText="1"/>
    </xf>
    <xf numFmtId="10" fontId="9" fillId="88" borderId="15" xfId="0" applyNumberFormat="1" applyFont="1" applyFill="1" applyBorder="1" applyAlignment="1">
      <alignment horizontal="center" vertical="center" wrapText="1"/>
    </xf>
    <xf numFmtId="165" fontId="9" fillId="88" borderId="16" xfId="0" applyNumberFormat="1" applyFont="1" applyFill="1" applyBorder="1" applyAlignment="1">
      <alignment horizontal="center" vertical="center" wrapText="1"/>
    </xf>
    <xf numFmtId="167" fontId="9" fillId="88" borderId="21" xfId="0" applyNumberFormat="1" applyFont="1" applyFill="1" applyBorder="1" applyAlignment="1">
      <alignment horizontal="center" vertical="center" wrapText="1"/>
    </xf>
    <xf numFmtId="10" fontId="9" fillId="88" borderId="6" xfId="0" applyNumberFormat="1" applyFont="1" applyFill="1" applyBorder="1" applyAlignment="1">
      <alignment horizontal="center" vertical="center" wrapText="1"/>
    </xf>
    <xf numFmtId="165" fontId="9" fillId="88" borderId="22" xfId="0" applyNumberFormat="1" applyFont="1" applyFill="1" applyBorder="1" applyAlignment="1">
      <alignment horizontal="center" vertical="center" wrapText="1"/>
    </xf>
    <xf numFmtId="167" fontId="9" fillId="88" borderId="18" xfId="0" applyNumberFormat="1" applyFont="1" applyFill="1" applyBorder="1" applyAlignment="1">
      <alignment horizontal="center" vertical="center" wrapText="1"/>
    </xf>
    <xf numFmtId="10" fontId="9" fillId="88" borderId="19" xfId="0" applyNumberFormat="1" applyFont="1" applyFill="1" applyBorder="1" applyAlignment="1">
      <alignment horizontal="center" vertical="center" wrapText="1"/>
    </xf>
    <xf numFmtId="165" fontId="9" fillId="88" borderId="20" xfId="0" applyNumberFormat="1" applyFont="1" applyFill="1" applyBorder="1" applyAlignment="1">
      <alignment horizontal="center" vertical="center" wrapText="1"/>
    </xf>
    <xf numFmtId="166" fontId="9" fillId="88" borderId="22" xfId="0" applyNumberFormat="1" applyFont="1" applyFill="1" applyBorder="1" applyAlignment="1">
      <alignment horizontal="center" vertical="center" wrapText="1"/>
    </xf>
    <xf numFmtId="170" fontId="9" fillId="88" borderId="14" xfId="0" applyNumberFormat="1" applyFont="1" applyFill="1" applyBorder="1" applyAlignment="1">
      <alignment horizontal="center" vertical="center" wrapText="1"/>
    </xf>
    <xf numFmtId="10" fontId="9" fillId="88" borderId="15" xfId="0" applyNumberFormat="1" applyFont="1" applyFill="1" applyBorder="1" applyAlignment="1">
      <alignment horizontal="center"/>
    </xf>
    <xf numFmtId="166" fontId="9" fillId="88" borderId="16" xfId="0" applyNumberFormat="1" applyFont="1" applyFill="1" applyBorder="1" applyAlignment="1">
      <alignment horizontal="center" vertical="center" wrapText="1"/>
    </xf>
    <xf numFmtId="166" fontId="9" fillId="88" borderId="20" xfId="0" applyNumberFormat="1" applyFont="1" applyFill="1" applyBorder="1" applyAlignment="1">
      <alignment horizontal="center" vertical="center" wrapText="1"/>
    </xf>
    <xf numFmtId="167" fontId="9" fillId="88" borderId="23" xfId="0" applyNumberFormat="1" applyFont="1" applyFill="1" applyBorder="1" applyAlignment="1">
      <alignment horizontal="center" vertical="center" wrapText="1"/>
    </xf>
    <xf numFmtId="10" fontId="9" fillId="88" borderId="7" xfId="0" applyNumberFormat="1" applyFont="1" applyFill="1" applyBorder="1" applyAlignment="1">
      <alignment horizontal="center" vertical="center" wrapText="1"/>
    </xf>
    <xf numFmtId="166" fontId="9" fillId="88" borderId="48" xfId="0" applyNumberFormat="1" applyFont="1" applyFill="1" applyBorder="1" applyAlignment="1">
      <alignment horizontal="center" vertical="center" wrapText="1"/>
    </xf>
    <xf numFmtId="167" fontId="9" fillId="88" borderId="67" xfId="0" applyNumberFormat="1" applyFont="1" applyFill="1" applyBorder="1" applyAlignment="1">
      <alignment horizontal="center" vertical="center" wrapText="1"/>
    </xf>
    <xf numFmtId="10" fontId="9" fillId="88" borderId="30" xfId="0" applyNumberFormat="1" applyFont="1" applyFill="1" applyBorder="1" applyAlignment="1">
      <alignment horizontal="center" vertical="center" wrapText="1"/>
    </xf>
    <xf numFmtId="166" fontId="9" fillId="88" borderId="31" xfId="0" applyNumberFormat="1" applyFont="1" applyFill="1" applyBorder="1" applyAlignment="1">
      <alignment horizontal="center" vertical="center" wrapText="1"/>
    </xf>
    <xf numFmtId="10" fontId="1" fillId="32" borderId="6" xfId="1" applyNumberFormat="1" applyFill="1" applyBorder="1"/>
    <xf numFmtId="167" fontId="17" fillId="25" borderId="25" xfId="0" applyNumberFormat="1" applyFont="1" applyFill="1" applyBorder="1" applyAlignment="1">
      <alignment horizontal="center" vertical="center" wrapText="1"/>
    </xf>
    <xf numFmtId="167" fontId="14" fillId="10" borderId="29" xfId="0" applyNumberFormat="1" applyFont="1" applyFill="1" applyBorder="1" applyAlignment="1">
      <alignment horizontal="center" vertical="center" wrapText="1"/>
    </xf>
    <xf numFmtId="0" fontId="14" fillId="10" borderId="56" xfId="0" applyFont="1" applyFill="1" applyBorder="1" applyAlignment="1">
      <alignment horizontal="center" vertical="center" wrapText="1"/>
    </xf>
    <xf numFmtId="167" fontId="6" fillId="11" borderId="29" xfId="0" applyNumberFormat="1" applyFont="1" applyFill="1" applyBorder="1"/>
    <xf numFmtId="167" fontId="13" fillId="10" borderId="29" xfId="0" applyNumberFormat="1" applyFont="1" applyFill="1" applyBorder="1" applyAlignment="1">
      <alignment horizontal="center" vertical="center" wrapText="1"/>
    </xf>
    <xf numFmtId="4" fontId="0" fillId="4" borderId="22" xfId="0" applyNumberFormat="1" applyFont="1" applyFill="1" applyBorder="1" applyAlignment="1">
      <alignment horizontal="center"/>
    </xf>
    <xf numFmtId="0" fontId="13" fillId="10" borderId="20" xfId="0" applyFont="1" applyFill="1" applyBorder="1" applyAlignment="1">
      <alignment horizontal="center" vertical="center" wrapText="1"/>
    </xf>
    <xf numFmtId="167" fontId="17" fillId="25" borderId="16" xfId="0" applyNumberFormat="1" applyFont="1" applyFill="1" applyBorder="1" applyAlignment="1">
      <alignment horizontal="center" vertical="center" wrapText="1"/>
    </xf>
    <xf numFmtId="167" fontId="9" fillId="88" borderId="6" xfId="0" applyNumberFormat="1" applyFont="1" applyFill="1" applyBorder="1" applyAlignment="1">
      <alignment horizontal="center" vertical="center" wrapText="1"/>
    </xf>
    <xf numFmtId="167" fontId="9" fillId="29" borderId="41" xfId="0" applyNumberFormat="1" applyFont="1" applyFill="1" applyBorder="1" applyAlignment="1">
      <alignment horizontal="center" vertical="center" wrapText="1"/>
    </xf>
    <xf numFmtId="188" fontId="9" fillId="29" borderId="41" xfId="5" applyNumberFormat="1" applyFont="1" applyFill="1" applyBorder="1" applyAlignment="1">
      <alignment vertical="center" wrapText="1"/>
    </xf>
    <xf numFmtId="165" fontId="9" fillId="29" borderId="41" xfId="0" applyNumberFormat="1" applyFont="1" applyFill="1" applyBorder="1" applyAlignment="1">
      <alignment horizontal="center" vertical="center" wrapText="1"/>
    </xf>
    <xf numFmtId="174" fontId="9" fillId="80" borderId="41" xfId="0" applyNumberFormat="1" applyFont="1" applyFill="1" applyBorder="1" applyAlignment="1">
      <alignment horizontal="center" vertical="center" wrapText="1"/>
    </xf>
    <xf numFmtId="167" fontId="9" fillId="18" borderId="41" xfId="0" applyNumberFormat="1" applyFont="1" applyFill="1" applyBorder="1" applyAlignment="1">
      <alignment horizontal="center" vertical="center" wrapText="1"/>
    </xf>
    <xf numFmtId="165" fontId="9" fillId="18" borderId="41" xfId="0" applyNumberFormat="1" applyFont="1" applyFill="1" applyBorder="1" applyAlignment="1">
      <alignment horizontal="center" vertical="center" wrapText="1"/>
    </xf>
    <xf numFmtId="175" fontId="9" fillId="0" borderId="0" xfId="0" applyNumberFormat="1" applyFont="1" applyBorder="1"/>
    <xf numFmtId="165" fontId="9" fillId="80" borderId="45" xfId="0" applyNumberFormat="1" applyFont="1" applyFill="1" applyBorder="1" applyAlignment="1">
      <alignment horizontal="center" vertical="center" wrapText="1"/>
    </xf>
    <xf numFmtId="9" fontId="9" fillId="0" borderId="0" xfId="0" applyNumberFormat="1" applyFont="1"/>
    <xf numFmtId="0" fontId="13" fillId="10" borderId="31" xfId="0" applyFont="1" applyFill="1" applyBorder="1" applyAlignment="1">
      <alignment horizontal="center" vertical="center" wrapText="1"/>
    </xf>
    <xf numFmtId="187" fontId="9" fillId="20" borderId="6" xfId="0" applyNumberFormat="1" applyFont="1" applyFill="1" applyBorder="1" applyAlignment="1">
      <alignment horizontal="center" vertical="center" wrapText="1"/>
    </xf>
    <xf numFmtId="167" fontId="14" fillId="10" borderId="22" xfId="0" applyNumberFormat="1" applyFont="1" applyFill="1" applyBorder="1" applyAlignment="1">
      <alignment horizontal="center" vertical="center" wrapText="1"/>
    </xf>
    <xf numFmtId="0" fontId="9" fillId="0" borderId="90" xfId="0" applyFont="1" applyFill="1" applyBorder="1" applyAlignment="1">
      <alignment horizontal="right"/>
    </xf>
    <xf numFmtId="167" fontId="9" fillId="12" borderId="65" xfId="0" applyNumberFormat="1" applyFont="1" applyFill="1" applyBorder="1" applyAlignment="1">
      <alignment horizontal="center" vertical="center" wrapText="1"/>
    </xf>
    <xf numFmtId="0" fontId="9" fillId="12" borderId="41" xfId="0" applyFont="1" applyFill="1" applyBorder="1" applyAlignment="1">
      <alignment horizontal="center" vertical="center" wrapText="1"/>
    </xf>
    <xf numFmtId="165" fontId="9" fillId="12" borderId="41" xfId="0" applyNumberFormat="1" applyFont="1" applyFill="1" applyBorder="1" applyAlignment="1">
      <alignment horizontal="center" vertical="center" wrapText="1"/>
    </xf>
    <xf numFmtId="167" fontId="9" fillId="12" borderId="41" xfId="0" applyNumberFormat="1" applyFont="1" applyFill="1" applyBorder="1" applyAlignment="1">
      <alignment horizontal="center" vertical="center" wrapText="1"/>
    </xf>
    <xf numFmtId="165" fontId="9" fillId="12" borderId="45" xfId="0" applyNumberFormat="1" applyFont="1" applyFill="1" applyBorder="1" applyAlignment="1">
      <alignment horizontal="center" vertical="center" wrapText="1"/>
    </xf>
    <xf numFmtId="167" fontId="9" fillId="11" borderId="65" xfId="0" applyNumberFormat="1" applyFont="1" applyFill="1" applyBorder="1" applyAlignment="1">
      <alignment horizontal="center" vertical="center" wrapText="1"/>
    </xf>
    <xf numFmtId="165" fontId="9" fillId="11" borderId="41" xfId="0" applyNumberFormat="1" applyFont="1" applyFill="1" applyBorder="1" applyAlignment="1">
      <alignment horizontal="center" vertical="center" wrapText="1"/>
    </xf>
    <xf numFmtId="167" fontId="9" fillId="13" borderId="65" xfId="0" applyNumberFormat="1" applyFont="1" applyFill="1" applyBorder="1" applyAlignment="1">
      <alignment horizontal="center" vertical="center" wrapText="1"/>
    </xf>
    <xf numFmtId="165" fontId="9" fillId="13" borderId="41" xfId="0" applyNumberFormat="1" applyFont="1" applyFill="1" applyBorder="1" applyAlignment="1">
      <alignment horizontal="center" vertical="center" wrapText="1"/>
    </xf>
    <xf numFmtId="167" fontId="9" fillId="88" borderId="44" xfId="0" applyNumberFormat="1" applyFont="1" applyFill="1" applyBorder="1" applyAlignment="1">
      <alignment horizontal="center" vertical="center" wrapText="1"/>
    </xf>
    <xf numFmtId="0" fontId="9" fillId="88" borderId="41" xfId="0" applyFont="1" applyFill="1" applyBorder="1" applyAlignment="1">
      <alignment horizontal="center" vertical="center" wrapText="1"/>
    </xf>
    <xf numFmtId="165" fontId="9" fillId="88" borderId="45" xfId="0" applyNumberFormat="1" applyFont="1" applyFill="1" applyBorder="1" applyAlignment="1">
      <alignment horizontal="center" vertical="center" wrapText="1"/>
    </xf>
    <xf numFmtId="167" fontId="9" fillId="14" borderId="65" xfId="0" applyNumberFormat="1" applyFont="1" applyFill="1" applyBorder="1" applyAlignment="1">
      <alignment horizontal="center" vertical="center" wrapText="1"/>
    </xf>
    <xf numFmtId="196" fontId="9" fillId="14" borderId="41" xfId="0" applyNumberFormat="1" applyFont="1" applyFill="1" applyBorder="1" applyAlignment="1">
      <alignment horizontal="center" vertical="center" wrapText="1"/>
    </xf>
    <xf numFmtId="165" fontId="9" fillId="14" borderId="66" xfId="0" applyNumberFormat="1" applyFont="1" applyFill="1" applyBorder="1" applyAlignment="1">
      <alignment horizontal="center" vertical="center" wrapText="1"/>
    </xf>
    <xf numFmtId="170" fontId="82" fillId="79" borderId="91" xfId="0" applyNumberFormat="1" applyFont="1" applyFill="1" applyBorder="1" applyAlignment="1">
      <alignment horizontal="right" vertical="center" wrapText="1"/>
    </xf>
    <xf numFmtId="170" fontId="82" fillId="79" borderId="74" xfId="0" applyNumberFormat="1" applyFont="1" applyFill="1" applyBorder="1" applyAlignment="1">
      <alignment horizontal="right" vertical="center" wrapText="1"/>
    </xf>
    <xf numFmtId="170" fontId="82" fillId="79" borderId="107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Border="1"/>
    <xf numFmtId="167" fontId="9" fillId="0" borderId="0" xfId="0" applyNumberFormat="1" applyFont="1" applyFill="1" applyBorder="1"/>
    <xf numFmtId="0" fontId="9" fillId="0" borderId="0" xfId="0" applyFont="1" applyBorder="1"/>
    <xf numFmtId="0" fontId="0" fillId="0" borderId="6" xfId="0" applyBorder="1"/>
    <xf numFmtId="0" fontId="0" fillId="0" borderId="52" xfId="0" applyBorder="1"/>
    <xf numFmtId="0" fontId="2" fillId="8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9" fillId="0" borderId="52" xfId="0" applyFont="1" applyFill="1" applyBorder="1" applyAlignment="1">
      <alignment horizontal="right"/>
    </xf>
    <xf numFmtId="0" fontId="2" fillId="22" borderId="47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wrapText="1"/>
    </xf>
    <xf numFmtId="165" fontId="2" fillId="9" borderId="0" xfId="2" applyNumberFormat="1" applyFont="1" applyFill="1" applyBorder="1" applyAlignment="1">
      <alignment horizontal="right"/>
    </xf>
    <xf numFmtId="165" fontId="9" fillId="0" borderId="0" xfId="2" applyNumberFormat="1" applyFont="1" applyBorder="1" applyAlignment="1">
      <alignment horizontal="right"/>
    </xf>
    <xf numFmtId="165" fontId="2" fillId="9" borderId="47" xfId="2" applyNumberFormat="1" applyFont="1" applyFill="1" applyBorder="1" applyAlignment="1">
      <alignment horizontal="right"/>
    </xf>
    <xf numFmtId="165" fontId="9" fillId="6" borderId="0" xfId="2" applyNumberFormat="1" applyFont="1" applyFill="1" applyBorder="1" applyAlignment="1">
      <alignment horizontal="right"/>
    </xf>
    <xf numFmtId="0" fontId="2" fillId="9" borderId="0" xfId="0" applyFont="1" applyFill="1" applyBorder="1"/>
    <xf numFmtId="0" fontId="2" fillId="0" borderId="0" xfId="0" applyFont="1" applyBorder="1"/>
    <xf numFmtId="0" fontId="13" fillId="0" borderId="0" xfId="0" applyFont="1" applyBorder="1"/>
    <xf numFmtId="181" fontId="9" fillId="74" borderId="36" xfId="0" applyNumberFormat="1" applyFont="1" applyFill="1" applyBorder="1" applyAlignment="1">
      <alignment horizontal="center" vertical="center"/>
    </xf>
    <xf numFmtId="181" fontId="9" fillId="15" borderId="15" xfId="0" applyNumberFormat="1" applyFont="1" applyFill="1" applyBorder="1" applyAlignment="1">
      <alignment horizontal="center" vertical="center" wrapText="1"/>
    </xf>
    <xf numFmtId="181" fontId="9" fillId="15" borderId="6" xfId="0" applyNumberFormat="1" applyFont="1" applyFill="1" applyBorder="1" applyAlignment="1">
      <alignment horizontal="center" vertical="center" wrapText="1"/>
    </xf>
    <xf numFmtId="181" fontId="9" fillId="15" borderId="19" xfId="0" applyNumberFormat="1" applyFont="1" applyFill="1" applyBorder="1" applyAlignment="1">
      <alignment horizontal="center" vertical="center" wrapText="1"/>
    </xf>
    <xf numFmtId="181" fontId="9" fillId="74" borderId="36" xfId="0" applyNumberFormat="1" applyFont="1" applyFill="1" applyBorder="1" applyAlignment="1">
      <alignment horizontal="center"/>
    </xf>
    <xf numFmtId="181" fontId="9" fillId="68" borderId="16" xfId="0" applyNumberFormat="1" applyFont="1" applyFill="1" applyBorder="1" applyAlignment="1">
      <alignment horizontal="center"/>
    </xf>
    <xf numFmtId="181" fontId="9" fillId="68" borderId="22" xfId="0" applyNumberFormat="1" applyFont="1" applyFill="1" applyBorder="1" applyAlignment="1">
      <alignment horizontal="center"/>
    </xf>
    <xf numFmtId="181" fontId="9" fillId="68" borderId="20" xfId="0" applyNumberFormat="1" applyFont="1" applyFill="1" applyBorder="1" applyAlignment="1">
      <alignment horizontal="center"/>
    </xf>
    <xf numFmtId="181" fontId="9" fillId="73" borderId="45" xfId="0" applyNumberFormat="1" applyFont="1" applyFill="1" applyBorder="1" applyAlignment="1">
      <alignment horizontal="center" vertical="center" wrapText="1"/>
    </xf>
    <xf numFmtId="181" fontId="9" fillId="15" borderId="16" xfId="0" applyNumberFormat="1" applyFont="1" applyFill="1" applyBorder="1" applyAlignment="1">
      <alignment horizontal="center" vertical="center" wrapText="1"/>
    </xf>
    <xf numFmtId="181" fontId="9" fillId="15" borderId="22" xfId="0" applyNumberFormat="1" applyFont="1" applyFill="1" applyBorder="1" applyAlignment="1">
      <alignment horizontal="center" vertical="center" wrapText="1"/>
    </xf>
    <xf numFmtId="181" fontId="9" fillId="68" borderId="22" xfId="0" applyNumberFormat="1" applyFont="1" applyFill="1" applyBorder="1" applyAlignment="1">
      <alignment horizontal="center" vertical="center" wrapText="1"/>
    </xf>
    <xf numFmtId="181" fontId="9" fillId="8" borderId="20" xfId="0" applyNumberFormat="1" applyFont="1" applyFill="1" applyBorder="1" applyAlignment="1">
      <alignment horizontal="center" vertical="center" wrapText="1"/>
    </xf>
    <xf numFmtId="181" fontId="9" fillId="73" borderId="66" xfId="0" applyNumberFormat="1" applyFont="1" applyFill="1" applyBorder="1" applyAlignment="1">
      <alignment horizontal="center" vertical="center" wrapText="1"/>
    </xf>
    <xf numFmtId="181" fontId="9" fillId="8" borderId="22" xfId="0" applyNumberFormat="1" applyFont="1" applyFill="1" applyBorder="1" applyAlignment="1">
      <alignment horizontal="center" vertical="center" wrapText="1"/>
    </xf>
    <xf numFmtId="181" fontId="9" fillId="48" borderId="22" xfId="0" applyNumberFormat="1" applyFont="1" applyFill="1" applyBorder="1" applyAlignment="1">
      <alignment horizontal="center" vertical="center" wrapText="1"/>
    </xf>
    <xf numFmtId="181" fontId="9" fillId="22" borderId="36" xfId="0" applyNumberFormat="1" applyFont="1" applyFill="1" applyBorder="1" applyAlignment="1">
      <alignment horizontal="center" vertical="center" wrapText="1"/>
    </xf>
    <xf numFmtId="181" fontId="9" fillId="68" borderId="16" xfId="0" applyNumberFormat="1" applyFont="1" applyFill="1" applyBorder="1" applyAlignment="1">
      <alignment horizontal="center" vertical="center" wrapText="1"/>
    </xf>
    <xf numFmtId="181" fontId="9" fillId="68" borderId="48" xfId="0" applyNumberFormat="1" applyFont="1" applyFill="1" applyBorder="1" applyAlignment="1">
      <alignment horizontal="center" vertical="center" wrapText="1"/>
    </xf>
    <xf numFmtId="181" fontId="9" fillId="62" borderId="22" xfId="0" applyNumberFormat="1" applyFont="1" applyFill="1" applyBorder="1" applyAlignment="1">
      <alignment horizontal="center" vertical="center" wrapText="1"/>
    </xf>
    <xf numFmtId="181" fontId="9" fillId="68" borderId="20" xfId="0" applyNumberFormat="1" applyFont="1" applyFill="1" applyBorder="1" applyAlignment="1">
      <alignment horizontal="center" vertical="center" wrapText="1"/>
    </xf>
    <xf numFmtId="181" fontId="9" fillId="66" borderId="36" xfId="0" applyNumberFormat="1" applyFont="1" applyFill="1" applyBorder="1" applyAlignment="1">
      <alignment horizontal="center" vertical="center" wrapText="1"/>
    </xf>
    <xf numFmtId="181" fontId="9" fillId="15" borderId="20" xfId="0" applyNumberFormat="1" applyFont="1" applyFill="1" applyBorder="1" applyAlignment="1">
      <alignment horizontal="center" vertical="center" wrapText="1"/>
    </xf>
    <xf numFmtId="181" fontId="9" fillId="68" borderId="66" xfId="0" applyNumberFormat="1" applyFont="1" applyFill="1" applyBorder="1" applyAlignment="1">
      <alignment horizontal="center" vertical="center" wrapText="1"/>
    </xf>
    <xf numFmtId="181" fontId="9" fillId="68" borderId="20" xfId="0" applyNumberFormat="1" applyFont="1" applyFill="1" applyBorder="1"/>
    <xf numFmtId="181" fontId="2" fillId="16" borderId="36" xfId="0" applyNumberFormat="1" applyFont="1" applyFill="1" applyBorder="1" applyAlignment="1">
      <alignment horizontal="center" vertical="center" wrapText="1"/>
    </xf>
    <xf numFmtId="181" fontId="9" fillId="0" borderId="0" xfId="0" applyNumberFormat="1" applyFont="1"/>
    <xf numFmtId="181" fontId="13" fillId="16" borderId="36" xfId="0" applyNumberFormat="1" applyFont="1" applyFill="1" applyBorder="1" applyAlignment="1">
      <alignment horizontal="center" vertical="center" wrapText="1"/>
    </xf>
    <xf numFmtId="181" fontId="13" fillId="16" borderId="42" xfId="0" applyNumberFormat="1" applyFont="1" applyFill="1" applyBorder="1" applyAlignment="1">
      <alignment horizontal="center" vertical="center" wrapText="1"/>
    </xf>
    <xf numFmtId="199" fontId="9" fillId="22" borderId="36" xfId="5" applyNumberFormat="1" applyFont="1" applyFill="1" applyBorder="1" applyAlignment="1">
      <alignment horizontal="center" vertical="center" wrapText="1"/>
    </xf>
    <xf numFmtId="199" fontId="9" fillId="11" borderId="16" xfId="0" applyNumberFormat="1" applyFont="1" applyFill="1" applyBorder="1" applyAlignment="1">
      <alignment horizontal="center" vertical="center" wrapText="1"/>
    </xf>
    <xf numFmtId="199" fontId="9" fillId="11" borderId="22" xfId="0" applyNumberFormat="1" applyFont="1" applyFill="1" applyBorder="1" applyAlignment="1">
      <alignment horizontal="center" vertical="center" wrapText="1"/>
    </xf>
    <xf numFmtId="199" fontId="9" fillId="11" borderId="20" xfId="0" applyNumberFormat="1" applyFont="1" applyFill="1" applyBorder="1" applyAlignment="1">
      <alignment horizontal="center" vertical="center" wrapText="1"/>
    </xf>
    <xf numFmtId="199" fontId="9" fillId="11" borderId="66" xfId="0" applyNumberFormat="1" applyFont="1" applyFill="1" applyBorder="1" applyAlignment="1">
      <alignment horizontal="center" vertical="center" wrapText="1"/>
    </xf>
    <xf numFmtId="199" fontId="9" fillId="22" borderId="36" xfId="0" applyNumberFormat="1" applyFont="1" applyFill="1" applyBorder="1" applyAlignment="1">
      <alignment horizontal="center" vertical="center" wrapText="1"/>
    </xf>
    <xf numFmtId="199" fontId="9" fillId="48" borderId="22" xfId="0" applyNumberFormat="1" applyFont="1" applyFill="1" applyBorder="1" applyAlignment="1">
      <alignment horizontal="center" vertical="center" wrapText="1"/>
    </xf>
    <xf numFmtId="199" fontId="9" fillId="8" borderId="22" xfId="0" applyNumberFormat="1" applyFont="1" applyFill="1" applyBorder="1" applyAlignment="1">
      <alignment horizontal="center" vertical="center" wrapText="1"/>
    </xf>
    <xf numFmtId="199" fontId="9" fillId="48" borderId="16" xfId="0" applyNumberFormat="1" applyFont="1" applyFill="1" applyBorder="1" applyAlignment="1">
      <alignment horizontal="center" vertical="center" wrapText="1"/>
    </xf>
    <xf numFmtId="199" fontId="9" fillId="64" borderId="16" xfId="0" applyNumberFormat="1" applyFont="1" applyFill="1" applyBorder="1" applyAlignment="1">
      <alignment horizontal="center" vertical="center" wrapText="1"/>
    </xf>
    <xf numFmtId="199" fontId="9" fillId="57" borderId="20" xfId="0" applyNumberFormat="1" applyFont="1" applyFill="1" applyBorder="1" applyAlignment="1">
      <alignment horizontal="center" vertical="center" wrapText="1"/>
    </xf>
    <xf numFmtId="199" fontId="9" fillId="9" borderId="36" xfId="0" applyNumberFormat="1" applyFont="1" applyFill="1" applyBorder="1" applyAlignment="1">
      <alignment horizontal="center" vertical="center" wrapText="1"/>
    </xf>
    <xf numFmtId="199" fontId="9" fillId="66" borderId="36" xfId="0" applyNumberFormat="1" applyFont="1" applyFill="1" applyBorder="1" applyAlignment="1">
      <alignment horizontal="center" vertical="center" wrapText="1"/>
    </xf>
    <xf numFmtId="199" fontId="2" fillId="14" borderId="36" xfId="0" applyNumberFormat="1" applyFont="1" applyFill="1" applyBorder="1" applyAlignment="1">
      <alignment horizontal="center" vertical="center" wrapText="1"/>
    </xf>
    <xf numFmtId="199" fontId="9" fillId="0" borderId="0" xfId="0" applyNumberFormat="1" applyFont="1"/>
    <xf numFmtId="199" fontId="9" fillId="0" borderId="0" xfId="1" applyNumberFormat="1" applyFont="1" applyFill="1" applyBorder="1" applyAlignment="1" applyProtection="1"/>
    <xf numFmtId="199" fontId="13" fillId="14" borderId="36" xfId="0" applyNumberFormat="1" applyFont="1" applyFill="1" applyBorder="1" applyAlignment="1">
      <alignment horizontal="center" vertical="center" wrapText="1"/>
    </xf>
    <xf numFmtId="199" fontId="13" fillId="14" borderId="42" xfId="0" applyNumberFormat="1" applyFont="1" applyFill="1" applyBorder="1" applyAlignment="1">
      <alignment horizontal="center" vertical="center" wrapText="1"/>
    </xf>
    <xf numFmtId="199" fontId="9" fillId="13" borderId="16" xfId="0" applyNumberFormat="1" applyFont="1" applyFill="1" applyBorder="1" applyAlignment="1">
      <alignment horizontal="center" vertical="center" wrapText="1"/>
    </xf>
    <xf numFmtId="199" fontId="9" fillId="13" borderId="22" xfId="0" applyNumberFormat="1" applyFont="1" applyFill="1" applyBorder="1" applyAlignment="1">
      <alignment horizontal="center" vertical="center" wrapText="1"/>
    </xf>
    <xf numFmtId="199" fontId="9" fillId="13" borderId="20" xfId="0" applyNumberFormat="1" applyFont="1" applyFill="1" applyBorder="1" applyAlignment="1">
      <alignment horizontal="center" vertical="center" wrapText="1"/>
    </xf>
    <xf numFmtId="199" fontId="9" fillId="13" borderId="66" xfId="0" applyNumberFormat="1" applyFont="1" applyFill="1" applyBorder="1" applyAlignment="1">
      <alignment horizontal="center" vertical="center" wrapText="1"/>
    </xf>
    <xf numFmtId="199" fontId="9" fillId="53" borderId="22" xfId="0" applyNumberFormat="1" applyFont="1" applyFill="1" applyBorder="1" applyAlignment="1">
      <alignment horizontal="center" vertical="center" wrapText="1"/>
    </xf>
    <xf numFmtId="199" fontId="9" fillId="63" borderId="16" xfId="0" applyNumberFormat="1" applyFont="1" applyFill="1" applyBorder="1" applyAlignment="1">
      <alignment horizontal="center" vertical="center" wrapText="1"/>
    </xf>
    <xf numFmtId="199" fontId="9" fillId="32" borderId="22" xfId="0" applyNumberFormat="1" applyFont="1" applyFill="1" applyBorder="1" applyAlignment="1">
      <alignment horizontal="center" vertical="center" wrapText="1"/>
    </xf>
    <xf numFmtId="199" fontId="2" fillId="14" borderId="38" xfId="0" applyNumberFormat="1" applyFont="1" applyFill="1" applyBorder="1" applyAlignment="1">
      <alignment horizontal="center" vertical="center" wrapText="1"/>
    </xf>
    <xf numFmtId="199" fontId="13" fillId="14" borderId="38" xfId="0" applyNumberFormat="1" applyFont="1" applyFill="1" applyBorder="1" applyAlignment="1">
      <alignment horizontal="center" vertical="center" wrapText="1"/>
    </xf>
    <xf numFmtId="199" fontId="13" fillId="14" borderId="71" xfId="0" applyNumberFormat="1" applyFont="1" applyFill="1" applyBorder="1" applyAlignment="1">
      <alignment horizontal="center" vertical="center" wrapText="1"/>
    </xf>
    <xf numFmtId="181" fontId="9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7" fillId="6" borderId="0" xfId="0" applyFont="1" applyFill="1" applyAlignment="1">
      <alignment horizontal="left"/>
    </xf>
    <xf numFmtId="0" fontId="7" fillId="0" borderId="0" xfId="0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4" fontId="7" fillId="0" borderId="0" xfId="0" applyNumberFormat="1" applyFont="1" applyBorder="1" applyAlignment="1">
      <alignment horizontal="left"/>
    </xf>
    <xf numFmtId="169" fontId="40" fillId="8" borderId="49" xfId="0" applyNumberFormat="1" applyFont="1" applyFill="1" applyBorder="1" applyAlignment="1">
      <alignment horizontal="left" vertical="center"/>
    </xf>
    <xf numFmtId="165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67" fontId="40" fillId="9" borderId="49" xfId="0" applyNumberFormat="1" applyFont="1" applyFill="1" applyBorder="1" applyAlignment="1">
      <alignment horizontal="left"/>
    </xf>
    <xf numFmtId="167" fontId="7" fillId="6" borderId="10" xfId="0" applyNumberFormat="1" applyFont="1" applyFill="1" applyBorder="1" applyAlignment="1">
      <alignment horizontal="left"/>
    </xf>
    <xf numFmtId="167" fontId="7" fillId="9" borderId="49" xfId="0" applyNumberFormat="1" applyFont="1" applyFill="1" applyBorder="1" applyAlignment="1">
      <alignment horizontal="left"/>
    </xf>
    <xf numFmtId="167" fontId="7" fillId="6" borderId="8" xfId="0" applyNumberFormat="1" applyFont="1" applyFill="1" applyBorder="1" applyAlignment="1">
      <alignment horizontal="left"/>
    </xf>
    <xf numFmtId="167" fontId="7" fillId="6" borderId="9" xfId="0" applyNumberFormat="1" applyFont="1" applyFill="1" applyBorder="1" applyAlignment="1">
      <alignment horizontal="left"/>
    </xf>
    <xf numFmtId="167" fontId="7" fillId="6" borderId="0" xfId="0" applyNumberFormat="1" applyFont="1" applyFill="1" applyBorder="1" applyAlignment="1">
      <alignment horizontal="left"/>
    </xf>
    <xf numFmtId="167" fontId="7" fillId="6" borderId="49" xfId="0" applyNumberFormat="1" applyFont="1" applyFill="1" applyBorder="1" applyAlignment="1">
      <alignment horizontal="left"/>
    </xf>
    <xf numFmtId="167" fontId="88" fillId="6" borderId="49" xfId="0" applyNumberFormat="1" applyFont="1" applyFill="1" applyBorder="1" applyAlignment="1">
      <alignment horizontal="left"/>
    </xf>
    <xf numFmtId="167" fontId="88" fillId="6" borderId="9" xfId="0" applyNumberFormat="1" applyFont="1" applyFill="1" applyBorder="1" applyAlignment="1">
      <alignment horizontal="left"/>
    </xf>
    <xf numFmtId="0" fontId="88" fillId="0" borderId="0" xfId="0" applyFont="1"/>
    <xf numFmtId="0" fontId="89" fillId="28" borderId="36" xfId="0" applyNumberFormat="1" applyFont="1" applyFill="1" applyBorder="1" applyAlignment="1">
      <alignment horizontal="center" vertical="center" wrapText="1"/>
    </xf>
    <xf numFmtId="0" fontId="89" fillId="79" borderId="16" xfId="0" applyNumberFormat="1" applyFont="1" applyFill="1" applyBorder="1" applyAlignment="1">
      <alignment horizontal="center" vertical="center" wrapText="1"/>
    </xf>
    <xf numFmtId="184" fontId="89" fillId="79" borderId="22" xfId="0" applyNumberFormat="1" applyFont="1" applyFill="1" applyBorder="1" applyAlignment="1">
      <alignment horizontal="center" vertical="center" wrapText="1"/>
    </xf>
    <xf numFmtId="184" fontId="89" fillId="79" borderId="20" xfId="0" applyNumberFormat="1" applyFont="1" applyFill="1" applyBorder="1" applyAlignment="1">
      <alignment horizontal="center" vertical="center" wrapText="1"/>
    </xf>
    <xf numFmtId="172" fontId="89" fillId="79" borderId="16" xfId="0" applyNumberFormat="1" applyFont="1" applyFill="1" applyBorder="1" applyAlignment="1">
      <alignment horizontal="center" vertical="center" wrapText="1"/>
    </xf>
    <xf numFmtId="184" fontId="89" fillId="79" borderId="66" xfId="0" applyNumberFormat="1" applyFont="1" applyFill="1" applyBorder="1" applyAlignment="1">
      <alignment horizontal="center" vertical="center" wrapText="1"/>
    </xf>
    <xf numFmtId="0" fontId="89" fillId="79" borderId="48" xfId="0" applyNumberFormat="1" applyFont="1" applyFill="1" applyBorder="1" applyAlignment="1">
      <alignment horizontal="center" vertical="center" wrapText="1"/>
    </xf>
    <xf numFmtId="0" fontId="89" fillId="79" borderId="14" xfId="0" applyNumberFormat="1" applyFont="1" applyFill="1" applyBorder="1" applyAlignment="1">
      <alignment horizontal="center" vertical="center" wrapText="1"/>
    </xf>
    <xf numFmtId="184" fontId="89" fillId="79" borderId="21" xfId="0" applyNumberFormat="1" applyFont="1" applyFill="1" applyBorder="1" applyAlignment="1">
      <alignment horizontal="center" vertical="center" wrapText="1"/>
    </xf>
    <xf numFmtId="184" fontId="89" fillId="79" borderId="18" xfId="0" applyNumberFormat="1" applyFont="1" applyFill="1" applyBorder="1" applyAlignment="1">
      <alignment horizontal="center" vertical="center" wrapText="1"/>
    </xf>
    <xf numFmtId="184" fontId="89" fillId="28" borderId="36" xfId="0" applyNumberFormat="1" applyFont="1" applyFill="1" applyBorder="1" applyAlignment="1">
      <alignment horizontal="center" vertical="center" wrapText="1"/>
    </xf>
    <xf numFmtId="184" fontId="89" fillId="79" borderId="16" xfId="1" applyNumberFormat="1" applyFont="1" applyFill="1" applyBorder="1" applyAlignment="1">
      <alignment horizontal="center" vertical="center" wrapText="1"/>
    </xf>
    <xf numFmtId="184" fontId="89" fillId="79" borderId="22" xfId="1" applyNumberFormat="1" applyFont="1" applyFill="1" applyBorder="1" applyAlignment="1">
      <alignment horizontal="center" vertical="center" wrapText="1"/>
    </xf>
    <xf numFmtId="184" fontId="89" fillId="79" borderId="20" xfId="1" applyNumberFormat="1" applyFont="1" applyFill="1" applyBorder="1" applyAlignment="1">
      <alignment horizontal="center" vertical="center" wrapText="1"/>
    </xf>
    <xf numFmtId="184" fontId="89" fillId="79" borderId="16" xfId="0" applyNumberFormat="1" applyFont="1" applyFill="1" applyBorder="1" applyAlignment="1">
      <alignment horizontal="center" vertical="center" wrapText="1"/>
    </xf>
    <xf numFmtId="184" fontId="90" fillId="79" borderId="36" xfId="0" applyNumberFormat="1" applyFont="1" applyFill="1" applyBorder="1" applyAlignment="1">
      <alignment horizontal="center" vertical="center" wrapText="1"/>
    </xf>
    <xf numFmtId="184" fontId="89" fillId="0" borderId="0" xfId="0" applyNumberFormat="1" applyFont="1" applyFill="1"/>
    <xf numFmtId="184" fontId="90" fillId="14" borderId="81" xfId="0" applyNumberFormat="1" applyFont="1" applyFill="1" applyBorder="1" applyAlignment="1">
      <alignment horizontal="center" vertical="center" wrapText="1"/>
    </xf>
    <xf numFmtId="184" fontId="91" fillId="14" borderId="81" xfId="0" applyNumberFormat="1" applyFont="1" applyFill="1" applyBorder="1" applyAlignment="1">
      <alignment horizontal="center" vertical="center" wrapText="1"/>
    </xf>
    <xf numFmtId="184" fontId="91" fillId="14" borderId="86" xfId="0" applyNumberFormat="1" applyFont="1" applyFill="1" applyBorder="1" applyAlignment="1">
      <alignment horizontal="center" vertical="center" wrapText="1"/>
    </xf>
    <xf numFmtId="184" fontId="89" fillId="0" borderId="0" xfId="6" applyNumberFormat="1" applyFont="1"/>
    <xf numFmtId="184" fontId="92" fillId="0" borderId="0" xfId="0" applyNumberFormat="1" applyFont="1"/>
    <xf numFmtId="166" fontId="7" fillId="0" borderId="10" xfId="0" applyNumberFormat="1" applyFont="1" applyFill="1" applyBorder="1" applyAlignment="1">
      <alignment horizontal="center" vertical="center"/>
    </xf>
    <xf numFmtId="198" fontId="7" fillId="0" borderId="10" xfId="0" applyNumberFormat="1" applyFont="1" applyFill="1" applyBorder="1" applyAlignment="1">
      <alignment horizontal="center" vertical="center"/>
    </xf>
    <xf numFmtId="10" fontId="1" fillId="0" borderId="0" xfId="1" applyNumberFormat="1"/>
    <xf numFmtId="200" fontId="89" fillId="0" borderId="0" xfId="1" applyNumberFormat="1" applyFont="1"/>
    <xf numFmtId="10" fontId="9" fillId="0" borderId="0" xfId="1" applyNumberFormat="1" applyFont="1" applyFill="1" applyBorder="1" applyAlignment="1" applyProtection="1"/>
    <xf numFmtId="165" fontId="9" fillId="12" borderId="99" xfId="0" applyNumberFormat="1" applyFont="1" applyFill="1" applyBorder="1" applyAlignment="1">
      <alignment horizontal="center" vertical="center" wrapText="1"/>
    </xf>
    <xf numFmtId="165" fontId="9" fillId="12" borderId="56" xfId="0" applyNumberFormat="1" applyFont="1" applyFill="1" applyBorder="1" applyAlignment="1">
      <alignment horizontal="center" vertical="center" wrapText="1"/>
    </xf>
    <xf numFmtId="165" fontId="9" fillId="12" borderId="108" xfId="0" applyNumberFormat="1" applyFont="1" applyFill="1" applyBorder="1" applyAlignment="1">
      <alignment horizontal="center" vertical="center" wrapText="1"/>
    </xf>
    <xf numFmtId="165" fontId="9" fillId="12" borderId="0" xfId="0" applyNumberFormat="1" applyFont="1" applyFill="1" applyBorder="1" applyAlignment="1">
      <alignment horizontal="center" vertical="center" wrapText="1"/>
    </xf>
    <xf numFmtId="170" fontId="2" fillId="22" borderId="61" xfId="0" applyNumberFormat="1" applyFont="1" applyFill="1" applyBorder="1" applyAlignment="1">
      <alignment horizontal="center" vertical="center" wrapText="1"/>
    </xf>
    <xf numFmtId="0" fontId="9" fillId="12" borderId="56" xfId="0" applyFont="1" applyFill="1" applyBorder="1" applyAlignment="1">
      <alignment horizontal="center" vertical="center" wrapText="1"/>
    </xf>
    <xf numFmtId="0" fontId="9" fillId="12" borderId="51" xfId="0" applyFont="1" applyFill="1" applyBorder="1" applyAlignment="1">
      <alignment horizontal="center" vertical="center" wrapText="1"/>
    </xf>
    <xf numFmtId="0" fontId="9" fillId="48" borderId="56" xfId="0" applyFont="1" applyFill="1" applyBorder="1" applyAlignment="1">
      <alignment horizontal="center" vertical="center" wrapText="1"/>
    </xf>
    <xf numFmtId="0" fontId="9" fillId="48" borderId="99" xfId="0" applyFont="1" applyFill="1" applyBorder="1" applyAlignment="1">
      <alignment horizontal="center" vertical="center" wrapText="1"/>
    </xf>
    <xf numFmtId="0" fontId="9" fillId="66" borderId="61" xfId="0" applyFont="1" applyFill="1" applyBorder="1" applyAlignment="1">
      <alignment horizontal="center" vertical="center" wrapText="1"/>
    </xf>
    <xf numFmtId="0" fontId="9" fillId="12" borderId="99" xfId="0" applyFont="1" applyFill="1" applyBorder="1" applyAlignment="1">
      <alignment horizontal="center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9" fillId="57" borderId="108" xfId="0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12" borderId="108" xfId="0" applyFont="1" applyFill="1" applyBorder="1" applyAlignment="1">
      <alignment horizontal="center" vertical="center" wrapText="1"/>
    </xf>
    <xf numFmtId="167" fontId="2" fillId="76" borderId="61" xfId="0" applyNumberFormat="1" applyFont="1" applyFill="1" applyBorder="1" applyAlignment="1">
      <alignment horizontal="center" vertical="center" wrapText="1"/>
    </xf>
    <xf numFmtId="167" fontId="2" fillId="32" borderId="61" xfId="0" applyNumberFormat="1" applyFont="1" applyFill="1" applyBorder="1" applyAlignment="1">
      <alignment horizontal="center" vertical="center" wrapText="1"/>
    </xf>
    <xf numFmtId="167" fontId="13" fillId="32" borderId="61" xfId="0" applyNumberFormat="1" applyFont="1" applyFill="1" applyBorder="1" applyAlignment="1">
      <alignment horizontal="center" vertical="center" wrapText="1"/>
    </xf>
    <xf numFmtId="167" fontId="13" fillId="32" borderId="27" xfId="0" applyNumberFormat="1" applyFont="1" applyFill="1" applyBorder="1" applyAlignment="1">
      <alignment horizontal="center" vertical="center" wrapText="1"/>
    </xf>
    <xf numFmtId="201" fontId="2" fillId="22" borderId="61" xfId="5" applyNumberFormat="1" applyFont="1" applyFill="1" applyBorder="1" applyAlignment="1">
      <alignment horizontal="center" vertical="center" wrapText="1"/>
    </xf>
    <xf numFmtId="0" fontId="82" fillId="0" borderId="0" xfId="0" applyNumberFormat="1" applyFont="1"/>
    <xf numFmtId="167" fontId="9" fillId="0" borderId="0" xfId="0" applyNumberFormat="1" applyFont="1" applyBorder="1" applyAlignment="1"/>
    <xf numFmtId="0" fontId="2" fillId="14" borderId="35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2" fillId="14" borderId="61" xfId="0" applyFont="1" applyFill="1" applyBorder="1" applyAlignment="1">
      <alignment horizontal="center" vertical="center" wrapText="1"/>
    </xf>
    <xf numFmtId="0" fontId="0" fillId="32" borderId="6" xfId="0" applyFont="1" applyFill="1" applyBorder="1" applyAlignment="1">
      <alignment horizontal="center" vertical="center" wrapText="1" shrinkToFit="1"/>
    </xf>
    <xf numFmtId="0" fontId="0" fillId="14" borderId="6" xfId="0" applyFont="1" applyFill="1" applyBorder="1" applyAlignment="1">
      <alignment horizontal="center" wrapText="1" shrinkToFit="1"/>
    </xf>
    <xf numFmtId="0" fontId="0" fillId="31" borderId="6" xfId="0" applyFont="1" applyFill="1" applyBorder="1" applyAlignment="1">
      <alignment horizontal="center" vertical="center" wrapText="1" shrinkToFit="1"/>
    </xf>
    <xf numFmtId="0" fontId="0" fillId="11" borderId="29" xfId="0" applyFill="1" applyBorder="1" applyAlignment="1">
      <alignment horizontal="center" vertical="center" wrapText="1" shrinkToFit="1"/>
    </xf>
    <xf numFmtId="0" fontId="0" fillId="11" borderId="6" xfId="0" applyFill="1" applyBorder="1" applyAlignment="1">
      <alignment horizontal="center" vertical="center" wrapText="1" shrinkToFit="1"/>
    </xf>
    <xf numFmtId="0" fontId="0" fillId="11" borderId="29" xfId="0" applyFont="1" applyFill="1" applyBorder="1" applyAlignment="1">
      <alignment horizontal="center" vertical="center" wrapText="1" shrinkToFit="1"/>
    </xf>
    <xf numFmtId="0" fontId="0" fillId="32" borderId="29" xfId="0" applyFill="1" applyBorder="1" applyAlignment="1">
      <alignment horizontal="center" vertical="center" wrapText="1" shrinkToFit="1"/>
    </xf>
    <xf numFmtId="0" fontId="0" fillId="0" borderId="6" xfId="2" applyFont="1" applyBorder="1" applyAlignment="1">
      <alignment horizontal="center" vertical="center" wrapText="1" shrinkToFit="1"/>
    </xf>
    <xf numFmtId="0" fontId="1" fillId="0" borderId="6" xfId="2" applyFont="1" applyBorder="1" applyAlignment="1">
      <alignment horizontal="center" vertical="center" wrapText="1" shrinkToFit="1"/>
    </xf>
    <xf numFmtId="167" fontId="9" fillId="85" borderId="15" xfId="0" applyNumberFormat="1" applyFont="1" applyFill="1" applyBorder="1" applyAlignment="1">
      <alignment horizontal="center" vertical="center" wrapText="1"/>
    </xf>
    <xf numFmtId="167" fontId="9" fillId="88" borderId="15" xfId="0" applyNumberFormat="1" applyFont="1" applyFill="1" applyBorder="1" applyAlignment="1">
      <alignment horizontal="center" vertical="center" wrapText="1"/>
    </xf>
    <xf numFmtId="170" fontId="2" fillId="79" borderId="99" xfId="0" applyNumberFormat="1" applyFont="1" applyFill="1" applyBorder="1" applyAlignment="1">
      <alignment horizontal="right" vertical="center" wrapText="1"/>
    </xf>
    <xf numFmtId="170" fontId="82" fillId="79" borderId="56" xfId="0" applyNumberFormat="1" applyFont="1" applyFill="1" applyBorder="1" applyAlignment="1">
      <alignment horizontal="right" vertical="center" wrapText="1"/>
    </xf>
    <xf numFmtId="170" fontId="82" fillId="79" borderId="108" xfId="0" applyNumberFormat="1" applyFont="1" applyFill="1" applyBorder="1" applyAlignment="1">
      <alignment horizontal="right" vertical="center" wrapText="1"/>
    </xf>
    <xf numFmtId="170" fontId="82" fillId="79" borderId="0" xfId="0" applyNumberFormat="1" applyFont="1" applyFill="1" applyBorder="1" applyAlignment="1">
      <alignment horizontal="right" vertical="center" wrapText="1"/>
    </xf>
    <xf numFmtId="170" fontId="2" fillId="79" borderId="52" xfId="0" applyNumberFormat="1" applyFont="1" applyFill="1" applyBorder="1" applyAlignment="1">
      <alignment horizontal="right" vertical="center" wrapText="1"/>
    </xf>
    <xf numFmtId="170" fontId="9" fillId="79" borderId="99" xfId="0" applyNumberFormat="1" applyFont="1" applyFill="1" applyBorder="1" applyAlignment="1">
      <alignment horizontal="right" vertical="center" wrapText="1"/>
    </xf>
    <xf numFmtId="170" fontId="9" fillId="79" borderId="56" xfId="0" applyNumberFormat="1" applyFont="1" applyFill="1" applyBorder="1" applyAlignment="1">
      <alignment horizontal="right" vertical="center" wrapText="1"/>
    </xf>
    <xf numFmtId="170" fontId="9" fillId="79" borderId="108" xfId="0" applyNumberFormat="1" applyFont="1" applyFill="1" applyBorder="1" applyAlignment="1">
      <alignment horizontal="right" vertical="center" wrapText="1"/>
    </xf>
    <xf numFmtId="170" fontId="2" fillId="24" borderId="61" xfId="0" applyNumberFormat="1" applyFont="1" applyFill="1" applyBorder="1" applyAlignment="1">
      <alignment horizontal="right" vertical="center" wrapText="1"/>
    </xf>
    <xf numFmtId="170" fontId="9" fillId="79" borderId="52" xfId="0" applyNumberFormat="1" applyFont="1" applyFill="1" applyBorder="1" applyAlignment="1">
      <alignment horizontal="right" vertical="center" wrapText="1"/>
    </xf>
    <xf numFmtId="170" fontId="9" fillId="79" borderId="51" xfId="0" applyNumberFormat="1" applyFont="1" applyFill="1" applyBorder="1" applyAlignment="1">
      <alignment horizontal="right" vertical="center" wrapText="1"/>
    </xf>
    <xf numFmtId="179" fontId="9" fillId="79" borderId="56" xfId="0" applyNumberFormat="1" applyFont="1" applyFill="1" applyBorder="1" applyAlignment="1">
      <alignment horizontal="right" vertical="center" wrapText="1" shrinkToFit="1"/>
    </xf>
    <xf numFmtId="167" fontId="2" fillId="22" borderId="61" xfId="0" applyNumberFormat="1" applyFont="1" applyFill="1" applyBorder="1" applyAlignment="1">
      <alignment horizontal="right" vertical="center" wrapText="1"/>
    </xf>
    <xf numFmtId="167" fontId="9" fillId="79" borderId="56" xfId="0" applyNumberFormat="1" applyFont="1" applyFill="1" applyBorder="1" applyAlignment="1">
      <alignment horizontal="right" vertical="center" wrapText="1"/>
    </xf>
    <xf numFmtId="170" fontId="2" fillId="22" borderId="61" xfId="0" applyNumberFormat="1" applyFont="1" applyFill="1" applyBorder="1" applyAlignment="1">
      <alignment horizontal="right" vertical="center" wrapText="1"/>
    </xf>
    <xf numFmtId="170" fontId="2" fillId="79" borderId="61" xfId="0" applyNumberFormat="1" applyFont="1" applyFill="1" applyBorder="1" applyAlignment="1">
      <alignment horizontal="right" vertical="center" wrapText="1"/>
    </xf>
    <xf numFmtId="170" fontId="2" fillId="14" borderId="61" xfId="0" applyNumberFormat="1" applyFont="1" applyFill="1" applyBorder="1" applyAlignment="1">
      <alignment horizontal="right" vertical="center" wrapText="1"/>
    </xf>
    <xf numFmtId="170" fontId="13" fillId="14" borderId="61" xfId="0" applyNumberFormat="1" applyFont="1" applyFill="1" applyBorder="1" applyAlignment="1">
      <alignment horizontal="right" vertical="center" wrapText="1"/>
    </xf>
    <xf numFmtId="170" fontId="13" fillId="14" borderId="27" xfId="0" applyNumberFormat="1" applyFont="1" applyFill="1" applyBorder="1" applyAlignment="1">
      <alignment horizontal="right" vertical="center" wrapText="1"/>
    </xf>
    <xf numFmtId="2" fontId="9" fillId="12" borderId="15" xfId="0" applyNumberFormat="1" applyFont="1" applyFill="1" applyBorder="1" applyAlignment="1">
      <alignment horizontal="center" vertical="center" wrapText="1"/>
    </xf>
    <xf numFmtId="0" fontId="9" fillId="89" borderId="107" xfId="0" applyFont="1" applyFill="1" applyBorder="1" applyAlignment="1">
      <alignment horizontal="right"/>
    </xf>
    <xf numFmtId="167" fontId="9" fillId="90" borderId="18" xfId="0" applyNumberFormat="1" applyFont="1" applyFill="1" applyBorder="1" applyAlignment="1">
      <alignment horizontal="center" vertical="center" wrapText="1"/>
    </xf>
    <xf numFmtId="0" fontId="9" fillId="90" borderId="19" xfId="0" applyFont="1" applyFill="1" applyBorder="1" applyAlignment="1">
      <alignment horizontal="center" vertical="center" wrapText="1"/>
    </xf>
    <xf numFmtId="165" fontId="9" fillId="90" borderId="19" xfId="0" applyNumberFormat="1" applyFont="1" applyFill="1" applyBorder="1" applyAlignment="1">
      <alignment horizontal="center" vertical="center" wrapText="1"/>
    </xf>
    <xf numFmtId="167" fontId="9" fillId="90" borderId="19" xfId="0" applyNumberFormat="1" applyFont="1" applyFill="1" applyBorder="1" applyAlignment="1">
      <alignment horizontal="center" vertical="center" wrapText="1"/>
    </xf>
    <xf numFmtId="165" fontId="9" fillId="90" borderId="93" xfId="0" applyNumberFormat="1" applyFont="1" applyFill="1" applyBorder="1" applyAlignment="1">
      <alignment horizontal="center" vertical="center" wrapText="1"/>
    </xf>
    <xf numFmtId="165" fontId="9" fillId="90" borderId="108" xfId="0" applyNumberFormat="1" applyFont="1" applyFill="1" applyBorder="1" applyAlignment="1">
      <alignment horizontal="center" vertical="center" wrapText="1"/>
    </xf>
    <xf numFmtId="167" fontId="9" fillId="89" borderId="18" xfId="0" applyNumberFormat="1" applyFont="1" applyFill="1" applyBorder="1" applyAlignment="1">
      <alignment horizontal="center" vertical="center" wrapText="1"/>
    </xf>
    <xf numFmtId="165" fontId="9" fillId="89" borderId="19" xfId="0" applyNumberFormat="1" applyFont="1" applyFill="1" applyBorder="1" applyAlignment="1">
      <alignment horizontal="center" vertical="center" wrapText="1"/>
    </xf>
    <xf numFmtId="199" fontId="9" fillId="89" borderId="20" xfId="0" applyNumberFormat="1" applyFont="1" applyFill="1" applyBorder="1" applyAlignment="1">
      <alignment horizontal="center" vertical="center" wrapText="1"/>
    </xf>
    <xf numFmtId="167" fontId="9" fillId="91" borderId="18" xfId="0" applyNumberFormat="1" applyFont="1" applyFill="1" applyBorder="1" applyAlignment="1">
      <alignment horizontal="center" vertical="center" wrapText="1"/>
    </xf>
    <xf numFmtId="165" fontId="9" fillId="91" borderId="19" xfId="0" applyNumberFormat="1" applyFont="1" applyFill="1" applyBorder="1" applyAlignment="1">
      <alignment horizontal="center" vertical="center" wrapText="1"/>
    </xf>
    <xf numFmtId="199" fontId="9" fillId="91" borderId="20" xfId="0" applyNumberFormat="1" applyFont="1" applyFill="1" applyBorder="1" applyAlignment="1">
      <alignment horizontal="center" vertical="center" wrapText="1"/>
    </xf>
    <xf numFmtId="167" fontId="9" fillId="89" borderId="96" xfId="0" applyNumberFormat="1" applyFont="1" applyFill="1" applyBorder="1" applyAlignment="1">
      <alignment horizontal="center" vertical="center" wrapText="1"/>
    </xf>
    <xf numFmtId="0" fontId="9" fillId="89" borderId="19" xfId="0" applyFont="1" applyFill="1" applyBorder="1" applyAlignment="1">
      <alignment horizontal="center" vertical="center" wrapText="1"/>
    </xf>
    <xf numFmtId="165" fontId="9" fillId="89" borderId="93" xfId="0" applyNumberFormat="1" applyFont="1" applyFill="1" applyBorder="1" applyAlignment="1">
      <alignment horizontal="center" vertical="center" wrapText="1"/>
    </xf>
    <xf numFmtId="196" fontId="9" fillId="89" borderId="19" xfId="0" applyNumberFormat="1" applyFont="1" applyFill="1" applyBorder="1" applyAlignment="1">
      <alignment horizontal="center" vertical="center" wrapText="1"/>
    </xf>
    <xf numFmtId="165" fontId="9" fillId="89" borderId="20" xfId="0" applyNumberFormat="1" applyFont="1" applyFill="1" applyBorder="1" applyAlignment="1">
      <alignment horizontal="center" vertical="center" wrapText="1"/>
    </xf>
    <xf numFmtId="0" fontId="9" fillId="89" borderId="59" xfId="0" applyFont="1" applyFill="1" applyBorder="1" applyAlignment="1">
      <alignment horizontal="right"/>
    </xf>
    <xf numFmtId="181" fontId="9" fillId="89" borderId="19" xfId="0" applyNumberFormat="1" applyFont="1" applyFill="1" applyBorder="1" applyAlignment="1">
      <alignment horizontal="center" vertical="center" wrapText="1"/>
    </xf>
    <xf numFmtId="170" fontId="9" fillId="89" borderId="19" xfId="0" applyNumberFormat="1" applyFont="1" applyFill="1" applyBorder="1" applyAlignment="1">
      <alignment horizontal="center" vertical="center" wrapText="1"/>
    </xf>
    <xf numFmtId="167" fontId="9" fillId="89" borderId="19" xfId="0" applyNumberFormat="1" applyFont="1" applyFill="1" applyBorder="1" applyAlignment="1">
      <alignment horizontal="center" vertical="center" wrapText="1"/>
    </xf>
    <xf numFmtId="167" fontId="9" fillId="92" borderId="19" xfId="0" applyNumberFormat="1" applyFont="1" applyFill="1" applyBorder="1" applyAlignment="1">
      <alignment horizontal="center" vertical="center" wrapText="1"/>
    </xf>
    <xf numFmtId="165" fontId="9" fillId="92" borderId="19" xfId="0" applyNumberFormat="1" applyFont="1" applyFill="1" applyBorder="1" applyAlignment="1">
      <alignment horizontal="center" vertical="center" wrapText="1"/>
    </xf>
    <xf numFmtId="164" fontId="9" fillId="90" borderId="19" xfId="5" applyFont="1" applyFill="1" applyBorder="1" applyAlignment="1">
      <alignment vertical="center" wrapText="1"/>
    </xf>
    <xf numFmtId="165" fontId="9" fillId="90" borderId="83" xfId="0" applyNumberFormat="1" applyFont="1" applyFill="1" applyBorder="1" applyAlignment="1">
      <alignment horizontal="left" vertical="center" wrapText="1"/>
    </xf>
    <xf numFmtId="170" fontId="9" fillId="89" borderId="18" xfId="0" applyNumberFormat="1" applyFont="1" applyFill="1" applyBorder="1" applyAlignment="1">
      <alignment horizontal="center" vertical="center" wrapText="1"/>
    </xf>
    <xf numFmtId="2" fontId="9" fillId="89" borderId="19" xfId="0" applyNumberFormat="1" applyFont="1" applyFill="1" applyBorder="1" applyAlignment="1">
      <alignment horizontal="center" vertical="center" wrapText="1"/>
    </xf>
    <xf numFmtId="167" fontId="9" fillId="93" borderId="19" xfId="0" applyNumberFormat="1" applyFont="1" applyFill="1" applyBorder="1" applyAlignment="1">
      <alignment horizontal="center" vertical="center" wrapText="1"/>
    </xf>
    <xf numFmtId="2" fontId="9" fillId="93" borderId="19" xfId="0" applyNumberFormat="1" applyFont="1" applyFill="1" applyBorder="1" applyAlignment="1">
      <alignment horizontal="center" vertical="center" wrapText="1"/>
    </xf>
    <xf numFmtId="165" fontId="9" fillId="93" borderId="20" xfId="0" applyNumberFormat="1" applyFont="1" applyFill="1" applyBorder="1" applyAlignment="1">
      <alignment horizontal="center" vertical="center" wrapText="1"/>
    </xf>
    <xf numFmtId="170" fontId="82" fillId="89" borderId="18" xfId="0" applyNumberFormat="1" applyFont="1" applyFill="1" applyBorder="1" applyAlignment="1">
      <alignment horizontal="right" vertical="center" wrapText="1"/>
    </xf>
    <xf numFmtId="170" fontId="82" fillId="89" borderId="108" xfId="0" applyNumberFormat="1" applyFont="1" applyFill="1" applyBorder="1" applyAlignment="1">
      <alignment horizontal="right" vertical="center" wrapText="1"/>
    </xf>
    <xf numFmtId="184" fontId="89" fillId="89" borderId="20" xfId="0" applyNumberFormat="1" applyFont="1" applyFill="1" applyBorder="1" applyAlignment="1">
      <alignment horizontal="center" vertical="center" wrapText="1"/>
    </xf>
    <xf numFmtId="166" fontId="9" fillId="89" borderId="10" xfId="0" applyNumberFormat="1" applyFont="1" applyFill="1" applyBorder="1" applyAlignment="1">
      <alignment horizontal="center" vertical="center"/>
    </xf>
    <xf numFmtId="0" fontId="9" fillId="89" borderId="0" xfId="0" applyFont="1" applyFill="1" applyBorder="1" applyAlignment="1">
      <alignment horizontal="right"/>
    </xf>
    <xf numFmtId="0" fontId="7" fillId="89" borderId="10" xfId="0" applyFont="1" applyFill="1" applyBorder="1" applyAlignment="1">
      <alignment horizontal="center" vertical="center"/>
    </xf>
    <xf numFmtId="167" fontId="9" fillId="89" borderId="0" xfId="0" applyNumberFormat="1" applyFont="1" applyFill="1"/>
    <xf numFmtId="175" fontId="9" fillId="89" borderId="0" xfId="0" applyNumberFormat="1" applyFont="1" applyFill="1"/>
    <xf numFmtId="0" fontId="9" fillId="89" borderId="0" xfId="0" applyFont="1" applyFill="1"/>
    <xf numFmtId="0" fontId="9" fillId="89" borderId="17" xfId="0" applyFont="1" applyFill="1" applyBorder="1" applyAlignment="1">
      <alignment horizontal="right"/>
    </xf>
    <xf numFmtId="0" fontId="0" fillId="89" borderId="0" xfId="0" applyFill="1"/>
    <xf numFmtId="166" fontId="9" fillId="89" borderId="0" xfId="0" applyNumberFormat="1" applyFont="1" applyFill="1"/>
    <xf numFmtId="0" fontId="9" fillId="15" borderId="15" xfId="0" applyNumberFormat="1" applyFont="1" applyFill="1" applyBorder="1" applyAlignment="1">
      <alignment horizontal="center" vertical="center" wrapText="1"/>
    </xf>
    <xf numFmtId="167" fontId="9" fillId="15" borderId="15" xfId="0" applyNumberFormat="1" applyFont="1" applyFill="1" applyBorder="1" applyAlignment="1">
      <alignment horizontal="center" vertical="center" wrapText="1"/>
    </xf>
    <xf numFmtId="0" fontId="9" fillId="15" borderId="19" xfId="0" applyNumberFormat="1" applyFont="1" applyFill="1" applyBorder="1" applyAlignment="1">
      <alignment horizontal="center" vertical="center" wrapText="1"/>
    </xf>
    <xf numFmtId="167" fontId="9" fillId="15" borderId="6" xfId="0" applyNumberFormat="1" applyFont="1" applyFill="1" applyBorder="1" applyAlignment="1">
      <alignment horizontal="center" vertical="center" wrapText="1"/>
    </xf>
    <xf numFmtId="167" fontId="9" fillId="15" borderId="19" xfId="0" applyNumberFormat="1" applyFont="1" applyFill="1" applyBorder="1" applyAlignment="1">
      <alignment horizontal="center" vertical="center" wrapText="1"/>
    </xf>
    <xf numFmtId="167" fontId="9" fillId="61" borderId="6" xfId="0" applyNumberFormat="1" applyFont="1" applyFill="1" applyBorder="1" applyAlignment="1">
      <alignment horizontal="center" vertical="center" wrapText="1"/>
    </xf>
    <xf numFmtId="167" fontId="9" fillId="61" borderId="19" xfId="0" applyNumberFormat="1" applyFont="1" applyFill="1" applyBorder="1" applyAlignment="1">
      <alignment horizontal="center" vertical="center" wrapText="1"/>
    </xf>
    <xf numFmtId="167" fontId="9" fillId="85" borderId="6" xfId="0" applyNumberFormat="1" applyFont="1" applyFill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0" fontId="9" fillId="12" borderId="15" xfId="0" applyNumberFormat="1" applyFont="1" applyFill="1" applyBorder="1" applyAlignment="1">
      <alignment horizontal="center" vertical="center" wrapText="1"/>
    </xf>
    <xf numFmtId="0" fontId="9" fillId="12" borderId="6" xfId="0" applyNumberFormat="1" applyFont="1" applyFill="1" applyBorder="1" applyAlignment="1">
      <alignment horizontal="center" vertical="center" wrapText="1"/>
    </xf>
    <xf numFmtId="0" fontId="9" fillId="12" borderId="19" xfId="0" applyNumberFormat="1" applyFont="1" applyFill="1" applyBorder="1" applyAlignment="1">
      <alignment horizontal="center" vertical="center" wrapText="1"/>
    </xf>
    <xf numFmtId="0" fontId="9" fillId="11" borderId="15" xfId="0" applyNumberFormat="1" applyFont="1" applyFill="1" applyBorder="1" applyAlignment="1">
      <alignment horizontal="center" vertical="center" wrapText="1"/>
    </xf>
    <xf numFmtId="0" fontId="9" fillId="11" borderId="6" xfId="0" applyNumberFormat="1" applyFont="1" applyFill="1" applyBorder="1" applyAlignment="1">
      <alignment horizontal="center" vertical="center" wrapText="1"/>
    </xf>
    <xf numFmtId="0" fontId="9" fillId="89" borderId="19" xfId="0" applyNumberFormat="1" applyFont="1" applyFill="1" applyBorder="1" applyAlignment="1">
      <alignment horizontal="center" vertical="center" wrapText="1"/>
    </xf>
    <xf numFmtId="0" fontId="9" fillId="11" borderId="19" xfId="0" applyNumberFormat="1" applyFont="1" applyFill="1" applyBorder="1" applyAlignment="1">
      <alignment horizontal="center" vertical="center" wrapText="1"/>
    </xf>
    <xf numFmtId="166" fontId="9" fillId="14" borderId="15" xfId="0" applyNumberFormat="1" applyFont="1" applyFill="1" applyBorder="1" applyAlignment="1">
      <alignment horizontal="center" vertical="center" wrapText="1"/>
    </xf>
    <xf numFmtId="202" fontId="1" fillId="0" borderId="0" xfId="1" applyNumberFormat="1" applyFill="1"/>
    <xf numFmtId="184" fontId="1" fillId="0" borderId="0" xfId="1" applyNumberFormat="1" applyFill="1" applyAlignment="1">
      <alignment horizontal="right"/>
    </xf>
    <xf numFmtId="200" fontId="9" fillId="0" borderId="0" xfId="0" applyNumberFormat="1" applyFont="1" applyFill="1" applyAlignment="1">
      <alignment horizontal="right"/>
    </xf>
    <xf numFmtId="202" fontId="1" fillId="0" borderId="0" xfId="1" applyNumberFormat="1"/>
    <xf numFmtId="202" fontId="9" fillId="0" borderId="0" xfId="6" applyNumberFormat="1" applyFont="1"/>
    <xf numFmtId="0" fontId="9" fillId="89" borderId="91" xfId="0" applyFont="1" applyFill="1" applyBorder="1" applyAlignment="1">
      <alignment horizontal="right"/>
    </xf>
    <xf numFmtId="167" fontId="9" fillId="90" borderId="14" xfId="0" applyNumberFormat="1" applyFont="1" applyFill="1" applyBorder="1" applyAlignment="1">
      <alignment horizontal="center" vertical="center" wrapText="1"/>
    </xf>
    <xf numFmtId="165" fontId="9" fillId="90" borderId="15" xfId="0" applyNumberFormat="1" applyFont="1" applyFill="1" applyBorder="1" applyAlignment="1">
      <alignment horizontal="center" vertical="center" wrapText="1"/>
    </xf>
    <xf numFmtId="167" fontId="9" fillId="90" borderId="15" xfId="0" applyNumberFormat="1" applyFont="1" applyFill="1" applyBorder="1" applyAlignment="1">
      <alignment horizontal="center" vertical="center" wrapText="1"/>
    </xf>
    <xf numFmtId="0" fontId="9" fillId="90" borderId="15" xfId="0" applyFont="1" applyFill="1" applyBorder="1" applyAlignment="1">
      <alignment horizontal="center" vertical="center" wrapText="1"/>
    </xf>
    <xf numFmtId="165" fontId="9" fillId="90" borderId="26" xfId="0" applyNumberFormat="1" applyFont="1" applyFill="1" applyBorder="1" applyAlignment="1">
      <alignment horizontal="center" vertical="center" wrapText="1"/>
    </xf>
    <xf numFmtId="165" fontId="9" fillId="90" borderId="99" xfId="0" applyNumberFormat="1" applyFont="1" applyFill="1" applyBorder="1" applyAlignment="1">
      <alignment horizontal="center" vertical="center" wrapText="1"/>
    </xf>
    <xf numFmtId="167" fontId="9" fillId="89" borderId="14" xfId="0" applyNumberFormat="1" applyFont="1" applyFill="1" applyBorder="1" applyAlignment="1">
      <alignment horizontal="center" vertical="center" wrapText="1"/>
    </xf>
    <xf numFmtId="2" fontId="9" fillId="91" borderId="15" xfId="0" applyNumberFormat="1" applyFont="1" applyFill="1" applyBorder="1" applyAlignment="1">
      <alignment horizontal="center" vertical="center" wrapText="1"/>
    </xf>
    <xf numFmtId="199" fontId="9" fillId="89" borderId="16" xfId="0" applyNumberFormat="1" applyFont="1" applyFill="1" applyBorder="1" applyAlignment="1">
      <alignment horizontal="center" vertical="center" wrapText="1"/>
    </xf>
    <xf numFmtId="167" fontId="9" fillId="91" borderId="14" xfId="0" applyNumberFormat="1" applyFont="1" applyFill="1" applyBorder="1" applyAlignment="1">
      <alignment horizontal="center" vertical="center" wrapText="1"/>
    </xf>
    <xf numFmtId="199" fontId="9" fillId="91" borderId="16" xfId="0" applyNumberFormat="1" applyFont="1" applyFill="1" applyBorder="1" applyAlignment="1">
      <alignment horizontal="center" vertical="center" wrapText="1"/>
    </xf>
    <xf numFmtId="167" fontId="9" fillId="89" borderId="92" xfId="0" applyNumberFormat="1" applyFont="1" applyFill="1" applyBorder="1" applyAlignment="1">
      <alignment horizontal="center" vertical="center" wrapText="1"/>
    </xf>
    <xf numFmtId="167" fontId="9" fillId="89" borderId="15" xfId="0" applyNumberFormat="1" applyFont="1" applyFill="1" applyBorder="1" applyAlignment="1">
      <alignment horizontal="center" vertical="center" wrapText="1"/>
    </xf>
    <xf numFmtId="165" fontId="9" fillId="89" borderId="26" xfId="0" applyNumberFormat="1" applyFont="1" applyFill="1" applyBorder="1" applyAlignment="1">
      <alignment horizontal="center" vertical="center" wrapText="1"/>
    </xf>
    <xf numFmtId="165" fontId="9" fillId="89" borderId="16" xfId="0" applyNumberFormat="1" applyFont="1" applyFill="1" applyBorder="1" applyAlignment="1">
      <alignment horizontal="center" vertical="center" wrapText="1"/>
    </xf>
    <xf numFmtId="2" fontId="9" fillId="89" borderId="15" xfId="0" applyNumberFormat="1" applyFont="1" applyFill="1" applyBorder="1" applyAlignment="1">
      <alignment horizontal="center" vertical="center" wrapText="1"/>
    </xf>
    <xf numFmtId="181" fontId="9" fillId="89" borderId="15" xfId="0" applyNumberFormat="1" applyFont="1" applyFill="1" applyBorder="1" applyAlignment="1">
      <alignment horizontal="center" vertical="center" wrapText="1"/>
    </xf>
    <xf numFmtId="170" fontId="9" fillId="89" borderId="15" xfId="0" applyNumberFormat="1" applyFont="1" applyFill="1" applyBorder="1" applyAlignment="1">
      <alignment horizontal="center" vertical="center" wrapText="1"/>
    </xf>
    <xf numFmtId="0" fontId="9" fillId="89" borderId="15" xfId="0" applyFont="1" applyFill="1" applyBorder="1" applyAlignment="1">
      <alignment horizontal="center" vertical="center" wrapText="1"/>
    </xf>
    <xf numFmtId="165" fontId="9" fillId="89" borderId="15" xfId="0" applyNumberFormat="1" applyFont="1" applyFill="1" applyBorder="1" applyAlignment="1">
      <alignment horizontal="center" vertical="center" wrapText="1"/>
    </xf>
    <xf numFmtId="167" fontId="9" fillId="92" borderId="15" xfId="0" applyNumberFormat="1" applyFont="1" applyFill="1" applyBorder="1" applyAlignment="1">
      <alignment horizontal="center" vertical="center" wrapText="1"/>
    </xf>
    <xf numFmtId="165" fontId="9" fillId="92" borderId="15" xfId="0" applyNumberFormat="1" applyFont="1" applyFill="1" applyBorder="1" applyAlignment="1">
      <alignment horizontal="center" vertical="center" wrapText="1"/>
    </xf>
    <xf numFmtId="170" fontId="9" fillId="89" borderId="14" xfId="0" applyNumberFormat="1" applyFont="1" applyFill="1" applyBorder="1" applyAlignment="1">
      <alignment horizontal="center" vertical="center" wrapText="1"/>
    </xf>
    <xf numFmtId="167" fontId="9" fillId="93" borderId="15" xfId="0" applyNumberFormat="1" applyFont="1" applyFill="1" applyBorder="1" applyAlignment="1">
      <alignment horizontal="center" vertical="center" wrapText="1"/>
    </xf>
    <xf numFmtId="165" fontId="9" fillId="93" borderId="16" xfId="0" applyNumberFormat="1" applyFont="1" applyFill="1" applyBorder="1" applyAlignment="1">
      <alignment horizontal="center" vertical="center" wrapText="1"/>
    </xf>
    <xf numFmtId="170" fontId="2" fillId="89" borderId="14" xfId="0" applyNumberFormat="1" applyFont="1" applyFill="1" applyBorder="1" applyAlignment="1">
      <alignment horizontal="right" vertical="center" wrapText="1"/>
    </xf>
    <xf numFmtId="0" fontId="9" fillId="89" borderId="15" xfId="0" applyNumberFormat="1" applyFont="1" applyFill="1" applyBorder="1" applyAlignment="1">
      <alignment horizontal="center" vertical="center" wrapText="1"/>
    </xf>
    <xf numFmtId="0" fontId="9" fillId="89" borderId="100" xfId="0" applyFont="1" applyFill="1" applyBorder="1" applyAlignment="1">
      <alignment horizontal="right"/>
    </xf>
    <xf numFmtId="196" fontId="9" fillId="89" borderId="15" xfId="0" applyNumberFormat="1" applyFont="1" applyFill="1" applyBorder="1" applyAlignment="1">
      <alignment horizontal="center" vertical="center" wrapText="1"/>
    </xf>
    <xf numFmtId="2" fontId="9" fillId="93" borderId="15" xfId="0" applyNumberFormat="1" applyFont="1" applyFill="1" applyBorder="1" applyAlignment="1">
      <alignment horizontal="center" vertical="center" wrapText="1"/>
    </xf>
    <xf numFmtId="0" fontId="9" fillId="90" borderId="15" xfId="0" applyNumberFormat="1" applyFont="1" applyFill="1" applyBorder="1" applyAlignment="1">
      <alignment horizontal="center" vertical="center" wrapText="1"/>
    </xf>
    <xf numFmtId="167" fontId="9" fillId="89" borderId="41" xfId="0" applyNumberFormat="1" applyFont="1" applyFill="1" applyBorder="1" applyAlignment="1">
      <alignment horizontal="center" vertical="center" wrapText="1"/>
    </xf>
    <xf numFmtId="188" fontId="9" fillId="89" borderId="41" xfId="5" applyNumberFormat="1" applyFont="1" applyFill="1" applyBorder="1" applyAlignment="1">
      <alignment vertical="center" wrapText="1"/>
    </xf>
    <xf numFmtId="165" fontId="9" fillId="89" borderId="41" xfId="0" applyNumberFormat="1" applyFont="1" applyFill="1" applyBorder="1" applyAlignment="1">
      <alignment horizontal="center" vertical="center" wrapText="1"/>
    </xf>
    <xf numFmtId="174" fontId="9" fillId="89" borderId="41" xfId="0" applyNumberFormat="1" applyFont="1" applyFill="1" applyBorder="1" applyAlignment="1">
      <alignment horizontal="center" vertical="center" wrapText="1"/>
    </xf>
    <xf numFmtId="165" fontId="9" fillId="89" borderId="45" xfId="0" applyNumberFormat="1" applyFont="1" applyFill="1" applyBorder="1" applyAlignment="1">
      <alignment horizontal="center" vertical="center" wrapText="1"/>
    </xf>
    <xf numFmtId="170" fontId="2" fillId="89" borderId="0" xfId="0" applyNumberFormat="1" applyFont="1" applyFill="1" applyBorder="1" applyAlignment="1">
      <alignment horizontal="right" vertical="center" wrapText="1"/>
    </xf>
    <xf numFmtId="0" fontId="89" fillId="89" borderId="66" xfId="0" applyNumberFormat="1" applyFont="1" applyFill="1" applyBorder="1" applyAlignment="1">
      <alignment horizontal="center" vertical="center" wrapText="1"/>
    </xf>
    <xf numFmtId="167" fontId="9" fillId="89" borderId="0" xfId="0" applyNumberFormat="1" applyFont="1" applyFill="1" applyBorder="1"/>
    <xf numFmtId="175" fontId="9" fillId="89" borderId="0" xfId="0" applyNumberFormat="1" applyFont="1" applyFill="1" applyBorder="1"/>
    <xf numFmtId="0" fontId="9" fillId="89" borderId="0" xfId="0" applyFont="1" applyFill="1" applyBorder="1"/>
    <xf numFmtId="0" fontId="2" fillId="79" borderId="8" xfId="0" applyFont="1" applyFill="1" applyBorder="1" applyAlignment="1">
      <alignment horizontal="center" vertical="center" wrapText="1"/>
    </xf>
    <xf numFmtId="0" fontId="2" fillId="79" borderId="10" xfId="0" applyFont="1" applyFill="1" applyBorder="1" applyAlignment="1">
      <alignment horizontal="center" vertical="center" wrapText="1"/>
    </xf>
    <xf numFmtId="0" fontId="2" fillId="79" borderId="9" xfId="0" applyFont="1" applyFill="1" applyBorder="1" applyAlignment="1">
      <alignment horizontal="center" vertical="center" wrapText="1"/>
    </xf>
    <xf numFmtId="167" fontId="9" fillId="0" borderId="0" xfId="0" applyNumberFormat="1" applyFont="1" applyBorder="1" applyAlignment="1"/>
    <xf numFmtId="167" fontId="9" fillId="0" borderId="0" xfId="0" applyNumberFormat="1" applyFont="1" applyFill="1" applyBorder="1" applyAlignment="1"/>
    <xf numFmtId="0" fontId="2" fillId="14" borderId="34" xfId="0" applyFont="1" applyFill="1" applyBorder="1" applyAlignment="1">
      <alignment horizontal="center" vertical="center" wrapText="1"/>
    </xf>
    <xf numFmtId="0" fontId="2" fillId="14" borderId="35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2" fillId="75" borderId="8" xfId="0" applyFont="1" applyFill="1" applyBorder="1" applyAlignment="1">
      <alignment horizontal="center" vertical="center"/>
    </xf>
    <xf numFmtId="0" fontId="2" fillId="75" borderId="10" xfId="0" applyFont="1" applyFill="1" applyBorder="1" applyAlignment="1">
      <alignment horizontal="center" vertical="center"/>
    </xf>
    <xf numFmtId="0" fontId="2" fillId="75" borderId="9" xfId="0" applyFont="1" applyFill="1" applyBorder="1" applyAlignment="1">
      <alignment horizontal="center" vertical="center"/>
    </xf>
    <xf numFmtId="0" fontId="2" fillId="14" borderId="89" xfId="0" applyFont="1" applyFill="1" applyBorder="1" applyAlignment="1">
      <alignment horizontal="center" vertical="center" wrapText="1"/>
    </xf>
    <xf numFmtId="0" fontId="2" fillId="14" borderId="63" xfId="0" applyFont="1" applyFill="1" applyBorder="1" applyAlignment="1">
      <alignment horizontal="center" vertical="center" wrapText="1"/>
    </xf>
    <xf numFmtId="0" fontId="2" fillId="14" borderId="64" xfId="0" applyFont="1" applyFill="1" applyBorder="1" applyAlignment="1">
      <alignment horizontal="center" vertical="center" wrapText="1"/>
    </xf>
    <xf numFmtId="0" fontId="2" fillId="14" borderId="62" xfId="0" applyFont="1" applyFill="1" applyBorder="1" applyAlignment="1">
      <alignment horizontal="center" vertical="center" wrapText="1"/>
    </xf>
    <xf numFmtId="0" fontId="2" fillId="14" borderId="27" xfId="0" applyFont="1" applyFill="1" applyBorder="1" applyAlignment="1">
      <alignment horizontal="center" vertical="center" wrapText="1"/>
    </xf>
    <xf numFmtId="0" fontId="2" fillId="14" borderId="87" xfId="0" applyFont="1" applyFill="1" applyBorder="1" applyAlignment="1">
      <alignment horizontal="center" vertical="center" wrapText="1"/>
    </xf>
    <xf numFmtId="0" fontId="2" fillId="14" borderId="47" xfId="0" applyFont="1" applyFill="1" applyBorder="1" applyAlignment="1">
      <alignment horizontal="center" vertical="center" wrapText="1"/>
    </xf>
    <xf numFmtId="0" fontId="2" fillId="14" borderId="61" xfId="0" applyFont="1" applyFill="1" applyBorder="1" applyAlignment="1">
      <alignment horizontal="center" vertical="center" wrapText="1"/>
    </xf>
    <xf numFmtId="0" fontId="2" fillId="14" borderId="58" xfId="0" applyFont="1" applyFill="1" applyBorder="1" applyAlignment="1">
      <alignment horizontal="center" vertical="center" wrapText="1"/>
    </xf>
    <xf numFmtId="0" fontId="13" fillId="16" borderId="23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13" fillId="16" borderId="48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13" fillId="16" borderId="20" xfId="0" applyFont="1" applyFill="1" applyBorder="1" applyAlignment="1">
      <alignment horizontal="center" vertical="center"/>
    </xf>
    <xf numFmtId="0" fontId="2" fillId="47" borderId="84" xfId="0" applyFont="1" applyFill="1" applyBorder="1" applyAlignment="1">
      <alignment horizontal="center" vertical="center"/>
    </xf>
    <xf numFmtId="0" fontId="2" fillId="47" borderId="83" xfId="0" applyFont="1" applyFill="1" applyBorder="1" applyAlignment="1">
      <alignment horizontal="center" vertical="center"/>
    </xf>
    <xf numFmtId="0" fontId="2" fillId="47" borderId="60" xfId="0" applyFont="1" applyFill="1" applyBorder="1" applyAlignment="1">
      <alignment horizontal="center" vertical="center"/>
    </xf>
    <xf numFmtId="0" fontId="2" fillId="8" borderId="95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36" borderId="6" xfId="0" applyFont="1" applyFill="1" applyBorder="1" applyAlignment="1">
      <alignment horizontal="center" vertical="center" wrapText="1"/>
    </xf>
    <xf numFmtId="0" fontId="2" fillId="36" borderId="22" xfId="0" applyFont="1" applyFill="1" applyBorder="1" applyAlignment="1">
      <alignment horizontal="center" vertical="center" wrapText="1"/>
    </xf>
    <xf numFmtId="0" fontId="2" fillId="21" borderId="34" xfId="0" applyFont="1" applyFill="1" applyBorder="1" applyAlignment="1">
      <alignment horizontal="center" vertical="center" wrapText="1" shrinkToFit="1"/>
    </xf>
    <xf numFmtId="0" fontId="2" fillId="21" borderId="35" xfId="0" applyFont="1" applyFill="1" applyBorder="1" applyAlignment="1">
      <alignment horizontal="center" vertical="center" wrapText="1" shrinkToFit="1"/>
    </xf>
    <xf numFmtId="0" fontId="2" fillId="21" borderId="36" xfId="0" applyFont="1" applyFill="1" applyBorder="1" applyAlignment="1">
      <alignment horizontal="center" vertical="center" wrapText="1" shrinkToFit="1"/>
    </xf>
    <xf numFmtId="0" fontId="2" fillId="79" borderId="90" xfId="0" applyFont="1" applyFill="1" applyBorder="1" applyAlignment="1">
      <alignment horizontal="center" vertical="center" wrapText="1"/>
    </xf>
    <xf numFmtId="0" fontId="2" fillId="79" borderId="0" xfId="0" applyFont="1" applyFill="1" applyBorder="1" applyAlignment="1">
      <alignment horizontal="center" vertical="center" wrapText="1"/>
    </xf>
    <xf numFmtId="0" fontId="2" fillId="79" borderId="5" xfId="0" applyFont="1" applyFill="1" applyBorder="1" applyAlignment="1">
      <alignment horizontal="center" vertical="center" wrapText="1"/>
    </xf>
    <xf numFmtId="0" fontId="2" fillId="79" borderId="62" xfId="0" applyFont="1" applyFill="1" applyBorder="1" applyAlignment="1">
      <alignment horizontal="center" vertical="center" wrapText="1"/>
    </xf>
    <xf numFmtId="0" fontId="2" fillId="79" borderId="27" xfId="0" applyFont="1" applyFill="1" applyBorder="1" applyAlignment="1">
      <alignment horizontal="center" vertical="center" wrapText="1"/>
    </xf>
    <xf numFmtId="0" fontId="2" fillId="79" borderId="87" xfId="0" applyFont="1" applyFill="1" applyBorder="1" applyAlignment="1">
      <alignment horizontal="center" vertical="center" wrapText="1"/>
    </xf>
    <xf numFmtId="0" fontId="81" fillId="67" borderId="8" xfId="0" applyFont="1" applyFill="1" applyBorder="1" applyAlignment="1">
      <alignment horizontal="center" vertical="center"/>
    </xf>
    <xf numFmtId="0" fontId="81" fillId="67" borderId="10" xfId="0" applyFont="1" applyFill="1" applyBorder="1" applyAlignment="1">
      <alignment horizontal="center" vertical="center"/>
    </xf>
    <xf numFmtId="0" fontId="81" fillId="67" borderId="9" xfId="0" applyFont="1" applyFill="1" applyBorder="1" applyAlignment="1">
      <alignment horizontal="center" vertical="center"/>
    </xf>
    <xf numFmtId="0" fontId="13" fillId="41" borderId="7" xfId="0" applyFont="1" applyFill="1" applyBorder="1" applyAlignment="1">
      <alignment horizontal="center" vertical="center"/>
    </xf>
    <xf numFmtId="0" fontId="13" fillId="41" borderId="48" xfId="0" applyFont="1" applyFill="1" applyBorder="1" applyAlignment="1">
      <alignment horizontal="center" vertical="center"/>
    </xf>
    <xf numFmtId="0" fontId="13" fillId="41" borderId="6" xfId="0" applyFont="1" applyFill="1" applyBorder="1" applyAlignment="1">
      <alignment horizontal="center" vertical="center"/>
    </xf>
    <xf numFmtId="0" fontId="13" fillId="41" borderId="22" xfId="0" applyFont="1" applyFill="1" applyBorder="1" applyAlignment="1">
      <alignment horizontal="center" vertical="center"/>
    </xf>
    <xf numFmtId="0" fontId="2" fillId="40" borderId="24" xfId="0" applyFont="1" applyFill="1" applyBorder="1" applyAlignment="1">
      <alignment horizontal="center" vertical="center"/>
    </xf>
    <xf numFmtId="0" fontId="2" fillId="40" borderId="28" xfId="0" applyFont="1" applyFill="1" applyBorder="1" applyAlignment="1">
      <alignment horizontal="center" vertical="center"/>
    </xf>
    <xf numFmtId="0" fontId="2" fillId="16" borderId="34" xfId="0" applyFont="1" applyFill="1" applyBorder="1" applyAlignment="1">
      <alignment horizontal="center" vertical="center" wrapText="1"/>
    </xf>
    <xf numFmtId="0" fontId="2" fillId="16" borderId="36" xfId="0" applyFont="1" applyFill="1" applyBorder="1" applyAlignment="1">
      <alignment horizontal="center" vertical="center" wrapText="1"/>
    </xf>
    <xf numFmtId="0" fontId="2" fillId="16" borderId="35" xfId="0" applyFont="1" applyFill="1" applyBorder="1" applyAlignment="1">
      <alignment horizontal="center" vertical="center" wrapText="1"/>
    </xf>
    <xf numFmtId="0" fontId="2" fillId="16" borderId="34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/>
    </xf>
    <xf numFmtId="0" fontId="2" fillId="79" borderId="89" xfId="0" applyFont="1" applyFill="1" applyBorder="1" applyAlignment="1">
      <alignment horizontal="center"/>
    </xf>
    <xf numFmtId="0" fontId="2" fillId="79" borderId="63" xfId="0" applyFont="1" applyFill="1" applyBorder="1" applyAlignment="1">
      <alignment horizontal="center"/>
    </xf>
    <xf numFmtId="0" fontId="2" fillId="79" borderId="64" xfId="0" applyFont="1" applyFill="1" applyBorder="1" applyAlignment="1">
      <alignment horizontal="center"/>
    </xf>
    <xf numFmtId="0" fontId="2" fillId="79" borderId="62" xfId="0" applyFont="1" applyFill="1" applyBorder="1" applyAlignment="1">
      <alignment horizontal="center"/>
    </xf>
    <xf numFmtId="0" fontId="2" fillId="79" borderId="27" xfId="0" applyFont="1" applyFill="1" applyBorder="1" applyAlignment="1">
      <alignment horizontal="center"/>
    </xf>
    <xf numFmtId="0" fontId="2" fillId="79" borderId="87" xfId="0" applyFont="1" applyFill="1" applyBorder="1" applyAlignment="1">
      <alignment horizontal="center"/>
    </xf>
    <xf numFmtId="167" fontId="9" fillId="0" borderId="27" xfId="0" applyNumberFormat="1" applyFont="1" applyBorder="1" applyAlignment="1"/>
    <xf numFmtId="0" fontId="39" fillId="79" borderId="45" xfId="0" applyFont="1" applyFill="1" applyBorder="1" applyAlignment="1">
      <alignment horizontal="center" vertical="center" wrapText="1"/>
    </xf>
    <xf numFmtId="0" fontId="39" fillId="79" borderId="0" xfId="0" applyFont="1" applyFill="1" applyBorder="1" applyAlignment="1">
      <alignment horizontal="center" vertical="center" wrapText="1"/>
    </xf>
    <xf numFmtId="0" fontId="37" fillId="79" borderId="13" xfId="0" applyFont="1" applyFill="1" applyBorder="1" applyAlignment="1">
      <alignment horizontal="center" vertical="center"/>
    </xf>
    <xf numFmtId="0" fontId="37" fillId="79" borderId="17" xfId="0" applyFont="1" applyFill="1" applyBorder="1" applyAlignment="1">
      <alignment horizontal="center" vertical="center"/>
    </xf>
    <xf numFmtId="0" fontId="37" fillId="79" borderId="59" xfId="0" applyFont="1" applyFill="1" applyBorder="1" applyAlignment="1">
      <alignment horizontal="center" vertical="center"/>
    </xf>
    <xf numFmtId="0" fontId="58" fillId="44" borderId="92" xfId="0" applyFont="1" applyFill="1" applyBorder="1" applyAlignment="1">
      <alignment horizontal="center" vertical="center" wrapText="1"/>
    </xf>
    <xf numFmtId="0" fontId="58" fillId="44" borderId="15" xfId="0" applyFont="1" applyFill="1" applyBorder="1" applyAlignment="1">
      <alignment horizontal="center" vertical="center"/>
    </xf>
    <xf numFmtId="0" fontId="58" fillId="44" borderId="26" xfId="0" applyFont="1" applyFill="1" applyBorder="1" applyAlignment="1">
      <alignment horizontal="center" vertical="center"/>
    </xf>
    <xf numFmtId="0" fontId="58" fillId="44" borderId="28" xfId="0" applyFont="1" applyFill="1" applyBorder="1" applyAlignment="1">
      <alignment horizontal="center" vertical="center"/>
    </xf>
    <xf numFmtId="0" fontId="58" fillId="44" borderId="6" xfId="0" applyFont="1" applyFill="1" applyBorder="1" applyAlignment="1">
      <alignment horizontal="center" vertical="center"/>
    </xf>
    <xf numFmtId="0" fontId="58" fillId="44" borderId="29" xfId="0" applyFont="1" applyFill="1" applyBorder="1" applyAlignment="1">
      <alignment horizontal="center" vertical="center"/>
    </xf>
    <xf numFmtId="0" fontId="58" fillId="44" borderId="32" xfId="0" applyFont="1" applyFill="1" applyBorder="1" applyAlignment="1">
      <alignment horizontal="center" vertical="center"/>
    </xf>
    <xf numFmtId="0" fontId="58" fillId="44" borderId="30" xfId="0" applyFont="1" applyFill="1" applyBorder="1" applyAlignment="1">
      <alignment horizontal="center" vertical="center"/>
    </xf>
    <xf numFmtId="0" fontId="58" fillId="44" borderId="33" xfId="0" applyFont="1" applyFill="1" applyBorder="1" applyAlignment="1">
      <alignment horizontal="center" vertical="center"/>
    </xf>
    <xf numFmtId="0" fontId="57" fillId="79" borderId="46" xfId="0" applyFont="1" applyFill="1" applyBorder="1" applyAlignment="1">
      <alignment horizontal="center" vertical="center" wrapText="1"/>
    </xf>
    <xf numFmtId="0" fontId="57" fillId="79" borderId="83" xfId="0" applyFont="1" applyFill="1" applyBorder="1" applyAlignment="1">
      <alignment horizontal="center" vertical="center" wrapText="1"/>
    </xf>
    <xf numFmtId="0" fontId="57" fillId="79" borderId="60" xfId="0" applyFont="1" applyFill="1" applyBorder="1" applyAlignment="1">
      <alignment horizontal="center" vertical="center" wrapText="1"/>
    </xf>
    <xf numFmtId="0" fontId="58" fillId="43" borderId="63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58" fillId="43" borderId="27" xfId="0" applyFont="1" applyFill="1" applyBorder="1" applyAlignment="1">
      <alignment horizontal="center" vertical="center" wrapText="1"/>
    </xf>
    <xf numFmtId="0" fontId="58" fillId="58" borderId="63" xfId="0" applyFont="1" applyFill="1" applyBorder="1" applyAlignment="1">
      <alignment horizontal="center" vertical="center" wrapText="1"/>
    </xf>
    <xf numFmtId="0" fontId="58" fillId="58" borderId="0" xfId="0" applyFont="1" applyFill="1" applyBorder="1" applyAlignment="1">
      <alignment horizontal="center" vertical="center" wrapText="1"/>
    </xf>
    <xf numFmtId="0" fontId="58" fillId="58" borderId="27" xfId="0" applyFont="1" applyFill="1" applyBorder="1" applyAlignment="1">
      <alignment horizontal="center" vertical="center" wrapText="1"/>
    </xf>
    <xf numFmtId="0" fontId="5" fillId="86" borderId="6" xfId="0" applyFont="1" applyFill="1" applyBorder="1" applyAlignment="1">
      <alignment horizontal="center"/>
    </xf>
    <xf numFmtId="0" fontId="6" fillId="86" borderId="30" xfId="0" applyFont="1" applyFill="1" applyBorder="1" applyAlignment="1">
      <alignment horizontal="center" vertical="center" textRotation="90"/>
    </xf>
    <xf numFmtId="0" fontId="6" fillId="86" borderId="41" xfId="0" applyFont="1" applyFill="1" applyBorder="1" applyAlignment="1">
      <alignment horizontal="center" vertical="center" textRotation="90"/>
    </xf>
    <xf numFmtId="0" fontId="6" fillId="86" borderId="7" xfId="0" applyFont="1" applyFill="1" applyBorder="1" applyAlignment="1">
      <alignment horizontal="center" vertical="center" textRotation="90"/>
    </xf>
    <xf numFmtId="0" fontId="6" fillId="86" borderId="6" xfId="0" applyFont="1" applyFill="1" applyBorder="1" applyAlignment="1">
      <alignment horizontal="center" vertical="center" textRotation="90"/>
    </xf>
    <xf numFmtId="0" fontId="5" fillId="86" borderId="29" xfId="0" applyFont="1" applyFill="1" applyBorder="1" applyAlignment="1">
      <alignment horizontal="center"/>
    </xf>
    <xf numFmtId="0" fontId="5" fillId="86" borderId="56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7" fillId="0" borderId="6" xfId="0" applyFont="1" applyBorder="1" applyAlignment="1">
      <alignment horizontal="center" vertical="center" wrapText="1" shrinkToFit="1"/>
    </xf>
    <xf numFmtId="0" fontId="0" fillId="32" borderId="6" xfId="0" applyFont="1" applyFill="1" applyBorder="1" applyAlignment="1">
      <alignment horizontal="center" vertical="center" wrapText="1" shrinkToFit="1"/>
    </xf>
    <xf numFmtId="0" fontId="0" fillId="14" borderId="6" xfId="0" applyFont="1" applyFill="1" applyBorder="1" applyAlignment="1">
      <alignment horizontal="center" wrapText="1" shrinkToFit="1"/>
    </xf>
    <xf numFmtId="0" fontId="27" fillId="14" borderId="6" xfId="0" applyFont="1" applyFill="1" applyBorder="1" applyAlignment="1">
      <alignment horizontal="center" vertical="center" wrapText="1" shrinkToFit="1"/>
    </xf>
    <xf numFmtId="0" fontId="0" fillId="32" borderId="29" xfId="0" applyFont="1" applyFill="1" applyBorder="1" applyAlignment="1">
      <alignment horizontal="center" vertical="center" wrapText="1" shrinkToFit="1"/>
    </xf>
    <xf numFmtId="0" fontId="0" fillId="32" borderId="56" xfId="0" applyFont="1" applyFill="1" applyBorder="1" applyAlignment="1">
      <alignment horizontal="center" vertical="center" wrapText="1" shrinkToFit="1"/>
    </xf>
    <xf numFmtId="0" fontId="0" fillId="32" borderId="28" xfId="0" applyFont="1" applyFill="1" applyBorder="1" applyAlignment="1">
      <alignment horizontal="center" vertical="center" wrapText="1" shrinkToFit="1"/>
    </xf>
    <xf numFmtId="0" fontId="0" fillId="31" borderId="28" xfId="0" applyFont="1" applyFill="1" applyBorder="1" applyAlignment="1">
      <alignment horizontal="center" vertical="center" wrapText="1" shrinkToFit="1"/>
    </xf>
    <xf numFmtId="0" fontId="0" fillId="31" borderId="6" xfId="0" applyFont="1" applyFill="1" applyBorder="1" applyAlignment="1">
      <alignment horizontal="center" vertical="center" wrapText="1" shrinkToFit="1"/>
    </xf>
    <xf numFmtId="0" fontId="0" fillId="11" borderId="29" xfId="0" applyFill="1" applyBorder="1" applyAlignment="1">
      <alignment horizontal="center" vertical="center" wrapText="1" shrinkToFit="1"/>
    </xf>
    <xf numFmtId="0" fontId="0" fillId="0" borderId="56" xfId="0" applyBorder="1" applyAlignment="1"/>
    <xf numFmtId="0" fontId="27" fillId="31" borderId="6" xfId="0" applyFont="1" applyFill="1" applyBorder="1" applyAlignment="1">
      <alignment horizontal="center" vertical="center" wrapText="1" shrinkToFit="1"/>
    </xf>
    <xf numFmtId="0" fontId="0" fillId="11" borderId="6" xfId="0" applyFill="1" applyBorder="1" applyAlignment="1">
      <alignment horizontal="center" vertical="center" wrapText="1" shrinkToFit="1"/>
    </xf>
    <xf numFmtId="0" fontId="0" fillId="11" borderId="6" xfId="0" applyFont="1" applyFill="1" applyBorder="1" applyAlignment="1">
      <alignment horizontal="center" vertical="center" wrapText="1" shrinkToFit="1"/>
    </xf>
    <xf numFmtId="0" fontId="27" fillId="33" borderId="6" xfId="0" applyFont="1" applyFill="1" applyBorder="1" applyAlignment="1">
      <alignment horizontal="center" vertical="center" wrapText="1" shrinkToFit="1"/>
    </xf>
    <xf numFmtId="0" fontId="27" fillId="33" borderId="29" xfId="0" applyFont="1" applyFill="1" applyBorder="1" applyAlignment="1">
      <alignment horizontal="center" vertical="center" wrapText="1" shrinkToFit="1"/>
    </xf>
    <xf numFmtId="0" fontId="27" fillId="11" borderId="6" xfId="0" applyFont="1" applyFill="1" applyBorder="1" applyAlignment="1">
      <alignment horizontal="center" vertical="center" wrapText="1" shrinkToFit="1"/>
    </xf>
    <xf numFmtId="0" fontId="0" fillId="0" borderId="6" xfId="0" applyBorder="1" applyAlignment="1"/>
    <xf numFmtId="0" fontId="0" fillId="11" borderId="29" xfId="0" applyFont="1" applyFill="1" applyBorder="1" applyAlignment="1">
      <alignment horizontal="center" vertical="center" wrapText="1" shrinkToFit="1"/>
    </xf>
    <xf numFmtId="0" fontId="0" fillId="32" borderId="29" xfId="0" applyFill="1" applyBorder="1" applyAlignment="1">
      <alignment horizontal="center" vertical="center" wrapText="1" shrinkToFit="1"/>
    </xf>
    <xf numFmtId="0" fontId="34" fillId="32" borderId="29" xfId="0" applyFont="1" applyFill="1" applyBorder="1" applyAlignment="1">
      <alignment horizontal="center" wrapText="1" shrinkToFit="1"/>
    </xf>
    <xf numFmtId="0" fontId="34" fillId="32" borderId="28" xfId="0" applyFont="1" applyFill="1" applyBorder="1" applyAlignment="1">
      <alignment horizontal="center" wrapText="1" shrinkToFit="1"/>
    </xf>
    <xf numFmtId="0" fontId="27" fillId="32" borderId="6" xfId="0" applyFont="1" applyFill="1" applyBorder="1" applyAlignment="1">
      <alignment horizontal="center" vertical="center" wrapText="1" shrinkToFit="1"/>
    </xf>
    <xf numFmtId="0" fontId="27" fillId="11" borderId="33" xfId="0" applyFont="1" applyFill="1" applyBorder="1" applyAlignment="1">
      <alignment horizontal="center" vertical="center" wrapText="1" shrinkToFit="1"/>
    </xf>
    <xf numFmtId="0" fontId="0" fillId="0" borderId="51" xfId="0" applyBorder="1" applyAlignment="1"/>
    <xf numFmtId="0" fontId="0" fillId="0" borderId="25" xfId="0" applyBorder="1" applyAlignment="1"/>
    <xf numFmtId="0" fontId="0" fillId="0" borderId="52" xfId="0" applyBorder="1" applyAlignment="1"/>
    <xf numFmtId="0" fontId="27" fillId="32" borderId="51" xfId="0" applyFont="1" applyFill="1" applyBorder="1" applyAlignment="1">
      <alignment horizontal="center" vertical="center" wrapText="1" shrinkToFit="1"/>
    </xf>
    <xf numFmtId="0" fontId="27" fillId="32" borderId="32" xfId="0" applyFont="1" applyFill="1" applyBorder="1" applyAlignment="1">
      <alignment horizontal="center" vertical="center" wrapText="1" shrinkToFit="1"/>
    </xf>
    <xf numFmtId="0" fontId="27" fillId="32" borderId="52" xfId="0" applyFont="1" applyFill="1" applyBorder="1" applyAlignment="1">
      <alignment horizontal="center" vertical="center" wrapText="1" shrinkToFit="1"/>
    </xf>
    <xf numFmtId="0" fontId="27" fillId="32" borderId="24" xfId="0" applyFont="1" applyFill="1" applyBorder="1" applyAlignment="1">
      <alignment horizontal="center" vertical="center" wrapText="1" shrinkToFit="1"/>
    </xf>
    <xf numFmtId="0" fontId="27" fillId="2" borderId="50" xfId="2" applyFont="1" applyFill="1" applyBorder="1" applyAlignment="1">
      <alignment horizontal="center"/>
    </xf>
    <xf numFmtId="0" fontId="11" fillId="5" borderId="11" xfId="2" applyFont="1" applyFill="1" applyBorder="1" applyAlignment="1">
      <alignment horizontal="center" wrapText="1"/>
    </xf>
    <xf numFmtId="0" fontId="11" fillId="5" borderId="12" xfId="2" applyFont="1" applyFill="1" applyBorder="1" applyAlignment="1">
      <alignment horizontal="center"/>
    </xf>
    <xf numFmtId="0" fontId="11" fillId="5" borderId="4" xfId="2" applyFont="1" applyFill="1" applyBorder="1" applyAlignment="1">
      <alignment horizontal="center"/>
    </xf>
    <xf numFmtId="184" fontId="1" fillId="11" borderId="30" xfId="1" applyNumberFormat="1" applyFill="1" applyBorder="1" applyAlignment="1">
      <alignment horizontal="right" vertical="center"/>
    </xf>
    <xf numFmtId="184" fontId="1" fillId="11" borderId="41" xfId="1" applyNumberFormat="1" applyFill="1" applyBorder="1" applyAlignment="1">
      <alignment horizontal="right" vertical="center"/>
    </xf>
    <xf numFmtId="184" fontId="1" fillId="11" borderId="7" xfId="1" applyNumberFormat="1" applyFill="1" applyBorder="1" applyAlignment="1">
      <alignment horizontal="right" vertical="center"/>
    </xf>
    <xf numFmtId="0" fontId="11" fillId="5" borderId="11" xfId="2" applyFont="1" applyFill="1" applyBorder="1" applyAlignment="1">
      <alignment horizontal="center" vertical="center" wrapText="1"/>
    </xf>
    <xf numFmtId="0" fontId="11" fillId="5" borderId="12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0" fillId="0" borderId="6" xfId="2" applyFont="1" applyBorder="1" applyAlignment="1">
      <alignment horizontal="center" vertical="center" wrapText="1" shrinkToFit="1"/>
    </xf>
    <xf numFmtId="9" fontId="0" fillId="0" borderId="6" xfId="2" applyNumberFormat="1" applyFont="1" applyBorder="1" applyAlignment="1">
      <alignment horizontal="center" vertical="center" wrapText="1"/>
    </xf>
    <xf numFmtId="9" fontId="1" fillId="0" borderId="6" xfId="2" applyNumberFormat="1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9" fontId="1" fillId="0" borderId="29" xfId="2" applyNumberFormat="1" applyBorder="1" applyAlignment="1">
      <alignment horizontal="center" vertical="center" wrapText="1"/>
    </xf>
    <xf numFmtId="9" fontId="1" fillId="0" borderId="56" xfId="2" applyNumberFormat="1" applyBorder="1" applyAlignment="1">
      <alignment horizontal="center" vertical="center" wrapText="1"/>
    </xf>
    <xf numFmtId="9" fontId="1" fillId="0" borderId="28" xfId="2" applyNumberForma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 shrinkToFit="1"/>
    </xf>
    <xf numFmtId="9" fontId="0" fillId="0" borderId="29" xfId="2" applyNumberFormat="1" applyFont="1" applyBorder="1" applyAlignment="1">
      <alignment horizontal="center"/>
    </xf>
    <xf numFmtId="9" fontId="0" fillId="0" borderId="56" xfId="2" applyNumberFormat="1" applyFont="1" applyBorder="1" applyAlignment="1">
      <alignment horizontal="center"/>
    </xf>
    <xf numFmtId="9" fontId="0" fillId="0" borderId="28" xfId="2" applyNumberFormat="1" applyFont="1" applyBorder="1" applyAlignment="1">
      <alignment horizontal="center"/>
    </xf>
    <xf numFmtId="0" fontId="71" fillId="0" borderId="0" xfId="0" applyFont="1" applyFill="1" applyAlignment="1">
      <alignment horizontal="center" vertical="center" wrapText="1"/>
    </xf>
    <xf numFmtId="0" fontId="27" fillId="15" borderId="6" xfId="0" applyFont="1" applyFill="1" applyBorder="1" applyAlignment="1">
      <alignment horizontal="center" vertical="center" wrapText="1" shrinkToFit="1"/>
    </xf>
    <xf numFmtId="0" fontId="62" fillId="16" borderId="33" xfId="0" applyFont="1" applyFill="1" applyBorder="1" applyAlignment="1">
      <alignment horizontal="center" vertical="center" wrapText="1" shrinkToFit="1"/>
    </xf>
    <xf numFmtId="0" fontId="62" fillId="16" borderId="51" xfId="0" applyFont="1" applyFill="1" applyBorder="1" applyAlignment="1">
      <alignment horizontal="center" vertical="center" wrapText="1" shrinkToFit="1"/>
    </xf>
    <xf numFmtId="0" fontId="62" fillId="16" borderId="32" xfId="0" applyFont="1" applyFill="1" applyBorder="1" applyAlignment="1">
      <alignment horizontal="center" vertical="center" wrapText="1" shrinkToFit="1"/>
    </xf>
    <xf numFmtId="0" fontId="62" fillId="16" borderId="25" xfId="0" applyFont="1" applyFill="1" applyBorder="1" applyAlignment="1">
      <alignment horizontal="center" vertical="center" wrapText="1" shrinkToFit="1"/>
    </xf>
    <xf numFmtId="0" fontId="62" fillId="16" borderId="52" xfId="0" applyFont="1" applyFill="1" applyBorder="1" applyAlignment="1">
      <alignment horizontal="center" vertical="center" wrapText="1" shrinkToFit="1"/>
    </xf>
    <xf numFmtId="0" fontId="62" fillId="16" borderId="24" xfId="0" applyFont="1" applyFill="1" applyBorder="1" applyAlignment="1">
      <alignment horizontal="center" vertical="center" wrapText="1" shrinkToFit="1"/>
    </xf>
    <xf numFmtId="0" fontId="27" fillId="60" borderId="6" xfId="0" applyFont="1" applyFill="1" applyBorder="1" applyAlignment="1">
      <alignment horizontal="center" vertical="center" wrapText="1" shrinkToFit="1"/>
    </xf>
    <xf numFmtId="0" fontId="27" fillId="80" borderId="29" xfId="0" applyFont="1" applyFill="1" applyBorder="1" applyAlignment="1">
      <alignment horizontal="center" vertical="center" wrapText="1" shrinkToFit="1"/>
    </xf>
    <xf numFmtId="0" fontId="27" fillId="80" borderId="28" xfId="0" applyFont="1" applyFill="1" applyBorder="1" applyAlignment="1">
      <alignment horizontal="center" vertical="center" wrapText="1" shrinkToFit="1"/>
    </xf>
    <xf numFmtId="0" fontId="27" fillId="16" borderId="6" xfId="0" applyFont="1" applyFill="1" applyBorder="1" applyAlignment="1">
      <alignment horizontal="center" vertical="center" wrapText="1" shrinkToFit="1"/>
    </xf>
    <xf numFmtId="0" fontId="35" fillId="15" borderId="29" xfId="0" applyFont="1" applyFill="1" applyBorder="1" applyAlignment="1">
      <alignment horizontal="center" wrapText="1" shrinkToFit="1"/>
    </xf>
    <xf numFmtId="0" fontId="35" fillId="15" borderId="28" xfId="0" applyFont="1" applyFill="1" applyBorder="1" applyAlignment="1">
      <alignment horizontal="center" wrapText="1" shrinkToFit="1"/>
    </xf>
    <xf numFmtId="0" fontId="27" fillId="15" borderId="29" xfId="0" applyFont="1" applyFill="1" applyBorder="1" applyAlignment="1">
      <alignment horizontal="center" vertical="center" wrapText="1" shrinkToFit="1"/>
    </xf>
    <xf numFmtId="0" fontId="27" fillId="15" borderId="28" xfId="0" applyFont="1" applyFill="1" applyBorder="1" applyAlignment="1">
      <alignment horizontal="center" vertical="center" wrapText="1" shrinkToFit="1"/>
    </xf>
    <xf numFmtId="0" fontId="27" fillId="59" borderId="6" xfId="0" applyFont="1" applyFill="1" applyBorder="1" applyAlignment="1">
      <alignment horizontal="center" vertical="center" wrapText="1" shrinkToFit="1"/>
    </xf>
    <xf numFmtId="0" fontId="0" fillId="15" borderId="29" xfId="0" applyFill="1" applyBorder="1" applyAlignment="1">
      <alignment horizontal="center" vertical="center" wrapText="1" shrinkToFit="1"/>
    </xf>
    <xf numFmtId="0" fontId="0" fillId="15" borderId="56" xfId="0" applyFill="1" applyBorder="1" applyAlignment="1"/>
    <xf numFmtId="0" fontId="0" fillId="15" borderId="29" xfId="0" applyFont="1" applyFill="1" applyBorder="1" applyAlignment="1">
      <alignment horizontal="center" vertical="center" wrapText="1" shrinkToFit="1"/>
    </xf>
    <xf numFmtId="0" fontId="0" fillId="85" borderId="29" xfId="0" applyFont="1" applyFill="1" applyBorder="1" applyAlignment="1">
      <alignment horizontal="center" vertical="center" wrapText="1" shrinkToFit="1"/>
    </xf>
    <xf numFmtId="0" fontId="0" fillId="85" borderId="56" xfId="0" applyFill="1" applyBorder="1" applyAlignment="1"/>
    <xf numFmtId="0" fontId="0" fillId="87" borderId="29" xfId="0" applyFont="1" applyFill="1" applyBorder="1" applyAlignment="1">
      <alignment horizontal="center" vertical="center"/>
    </xf>
    <xf numFmtId="0" fontId="0" fillId="87" borderId="28" xfId="0" applyFont="1" applyFill="1" applyBorder="1" applyAlignment="1">
      <alignment horizontal="center" vertical="center"/>
    </xf>
    <xf numFmtId="0" fontId="27" fillId="32" borderId="6" xfId="0" applyFont="1" applyFill="1" applyBorder="1" applyAlignment="1">
      <alignment horizontal="center" wrapText="1" shrinkToFit="1"/>
    </xf>
  </cellXfs>
  <cellStyles count="7">
    <cellStyle name="Euro" xfId="3"/>
    <cellStyle name="Milliers" xfId="5" builtinId="3"/>
    <cellStyle name="Monétaire" xfId="6" builtinId="4"/>
    <cellStyle name="Normal" xfId="0" builtinId="0"/>
    <cellStyle name="Normal_Feuil1" xfId="2"/>
    <cellStyle name="Pourcentage" xfId="1" builtinId="5"/>
    <cellStyle name="Titre 1" xfId="4"/>
  </cellStyles>
  <dxfs count="1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5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FC876"/>
      <color rgb="FF84C6D8"/>
      <color rgb="FFCCFFFF"/>
      <color rgb="FF66FFFF"/>
      <color rgb="FFB4DE86"/>
      <color rgb="FF7CA1CE"/>
      <color rgb="FF33D3E9"/>
      <color rgb="FF71C0D9"/>
      <color rgb="FF66CCFF"/>
      <color rgb="FFA5D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25</xdr:row>
      <xdr:rowOff>47625</xdr:rowOff>
    </xdr:from>
    <xdr:to>
      <xdr:col>0</xdr:col>
      <xdr:colOff>1152525</xdr:colOff>
      <xdr:row>29</xdr:row>
      <xdr:rowOff>246012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085850" cy="12556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0</xdr:row>
      <xdr:rowOff>47625</xdr:rowOff>
    </xdr:from>
    <xdr:to>
      <xdr:col>0</xdr:col>
      <xdr:colOff>885825</xdr:colOff>
      <xdr:row>4</xdr:row>
      <xdr:rowOff>152204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47625"/>
          <a:ext cx="828676" cy="1161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roupes\M%20E%20F\Compta%20et%20RH%20M%20E%20F\Pr&#233;pa%20budget%20+%20dossier%20factures\Ann&#233;e%202017\masse%20salariale%20pour%20budget%202017.xlsx%20sans%20le%20C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 salaire"/>
      <sheetName val="Ft° Continue"/>
      <sheetName val="Nelle mise en page"/>
      <sheetName val="CICE"/>
      <sheetName val="Mise en forme CICE"/>
    </sheetNames>
    <sheetDataSet>
      <sheetData sheetId="0"/>
      <sheetData sheetId="1"/>
      <sheetData sheetId="2">
        <row r="29">
          <cell r="B29">
            <v>460.74728699999997</v>
          </cell>
          <cell r="C29">
            <v>1225.854</v>
          </cell>
          <cell r="D29">
            <v>672.78599999999994</v>
          </cell>
          <cell r="E29">
            <v>833.74919999999997</v>
          </cell>
          <cell r="G29">
            <v>682.72199999999998</v>
          </cell>
          <cell r="H29">
            <v>669.7703904768</v>
          </cell>
          <cell r="I29">
            <v>623.10599999999999</v>
          </cell>
          <cell r="J29">
            <v>681.1257599999999</v>
          </cell>
          <cell r="K29">
            <v>644.46839999999997</v>
          </cell>
          <cell r="L29">
            <v>599.38919999999996</v>
          </cell>
          <cell r="M29">
            <v>856.99295999999993</v>
          </cell>
          <cell r="N29">
            <v>789.03719999999998</v>
          </cell>
          <cell r="O29">
            <v>803.94119999999987</v>
          </cell>
          <cell r="P29">
            <v>659.1207599999999</v>
          </cell>
          <cell r="Q29">
            <v>781.08839999999998</v>
          </cell>
          <cell r="S29">
            <v>827.18495999999993</v>
          </cell>
        </row>
        <row r="32">
          <cell r="B32">
            <v>487.67044955987865</v>
          </cell>
          <cell r="C32">
            <v>2916.3558722733223</v>
          </cell>
          <cell r="D32">
            <v>1105.7521484803897</v>
          </cell>
          <cell r="E32">
            <v>1632.9025608883146</v>
          </cell>
          <cell r="G32">
            <v>861.77709739445891</v>
          </cell>
          <cell r="H32">
            <v>1095.8760003549367</v>
          </cell>
          <cell r="I32">
            <v>943.05140391004193</v>
          </cell>
          <cell r="J32">
            <v>1133.0646517319594</v>
          </cell>
          <cell r="K32">
            <v>1013.0127240752913</v>
          </cell>
          <cell r="L32">
            <v>865.37948324124113</v>
          </cell>
          <cell r="M32">
            <v>1668.0416875109893</v>
          </cell>
          <cell r="N32">
            <v>1486.4718907750021</v>
          </cell>
          <cell r="O32">
            <v>1535.2821141461066</v>
          </cell>
          <cell r="P32">
            <v>1060.9988328054196</v>
          </cell>
          <cell r="Q32">
            <v>1460.4397716437466</v>
          </cell>
          <cell r="S32">
            <v>1538.579560768781</v>
          </cell>
        </row>
        <row r="37">
          <cell r="B37">
            <v>22695.27588144</v>
          </cell>
          <cell r="C37">
            <v>63517.109016000002</v>
          </cell>
          <cell r="D37">
            <v>33790.603209119996</v>
          </cell>
          <cell r="E37">
            <v>43729.273849599995</v>
          </cell>
          <cell r="G37">
            <v>33922.762365920004</v>
          </cell>
          <cell r="H37">
            <v>35522.169296182117</v>
          </cell>
          <cell r="I37">
            <v>29670.555089119996</v>
          </cell>
          <cell r="J37">
            <v>34314.052127999996</v>
          </cell>
          <cell r="K37">
            <v>31879.092340319999</v>
          </cell>
          <cell r="L37">
            <v>28886.48463264</v>
          </cell>
          <cell r="M37">
            <v>44775.731317879996</v>
          </cell>
          <cell r="N37">
            <v>41430.636353599999</v>
          </cell>
          <cell r="O37">
            <v>41381.516705599992</v>
          </cell>
          <cell r="P37">
            <v>32867.297057999996</v>
          </cell>
          <cell r="Q37">
            <v>41011.920939199998</v>
          </cell>
          <cell r="S37">
            <v>43358.957876479995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id="3" name="Tableau24" displayName="Tableau24" ref="B112:F121" totalsRowShown="0" headerRowDxfId="12">
  <tableColumns count="5">
    <tableColumn id="1" name="Financeurs" dataDxfId="11"/>
    <tableColumn id="2" name="Fonctionnement" dataDxfId="10"/>
    <tableColumn id="3" name="%" dataDxfId="9" dataCellStyle="Pourcentage"/>
    <tableColumn id="4" name="Global" dataDxfId="8" dataCellStyle="Pourcentage"/>
    <tableColumn id="5" name="Colonne1" dataDxfId="7" dataCellStyle="Pourcentage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au15" displayName="Tableau15" ref="B105:H110" totalsRowShown="0" headerRowDxfId="6">
  <tableColumns count="7">
    <tableColumn id="1" name="Colonne1" dataDxfId="5"/>
    <tableColumn id="2" name="Subv. ML 2011" dataDxfId="4"/>
    <tableColumn id="3" name="Subv. ML 2012" dataDxfId="3" dataCellStyle="Pourcentage"/>
    <tableColumn id="7" name="Subv. ML 2013" dataDxfId="2"/>
    <tableColumn id="4" name="%" dataDxfId="1" dataCellStyle="Pourcentage"/>
    <tableColumn id="5" name="Colonne2"/>
    <tableColumn id="6" name="% Hors RVO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C148"/>
  <sheetViews>
    <sheetView tabSelected="1" zoomScale="70" zoomScaleNormal="70" zoomScaleSheetLayoutView="30" zoomScalePageLayoutView="33" workbookViewId="0">
      <selection activeCell="BD6" sqref="BD6"/>
    </sheetView>
  </sheetViews>
  <sheetFormatPr baseColWidth="10" defaultColWidth="11.42578125" defaultRowHeight="27"/>
  <cols>
    <col min="1" max="1" width="58.85546875" style="15" bestFit="1" customWidth="1"/>
    <col min="2" max="2" width="20.140625" style="1408" bestFit="1" customWidth="1"/>
    <col min="3" max="3" width="8.5703125" style="1408" customWidth="1"/>
    <col min="4" max="4" width="8.7109375" style="1408" bestFit="1" customWidth="1"/>
    <col min="5" max="5" width="19.42578125" style="1408" hidden="1" customWidth="1"/>
    <col min="6" max="6" width="12.42578125" style="1408" hidden="1" customWidth="1"/>
    <col min="7" max="7" width="19.42578125" style="15" hidden="1" customWidth="1"/>
    <col min="8" max="8" width="12.42578125" style="15" hidden="1" customWidth="1"/>
    <col min="9" max="9" width="13.7109375" style="15" hidden="1" customWidth="1"/>
    <col min="10" max="10" width="14.5703125" style="15" hidden="1" customWidth="1"/>
    <col min="11" max="11" width="19.42578125" style="15" bestFit="1" customWidth="1"/>
    <col min="12" max="12" width="10.85546875" style="15" customWidth="1"/>
    <col min="13" max="13" width="18.42578125" style="1645" bestFit="1" customWidth="1"/>
    <col min="14" max="14" width="20.85546875" style="15" bestFit="1" customWidth="1"/>
    <col min="15" max="15" width="3" style="15" customWidth="1"/>
    <col min="16" max="16" width="18.42578125" style="1645" bestFit="1" customWidth="1"/>
    <col min="17" max="17" width="18.7109375" style="15" customWidth="1"/>
    <col min="18" max="18" width="3.28515625" style="15" customWidth="1"/>
    <col min="19" max="19" width="10.85546875" style="703" bestFit="1" customWidth="1"/>
    <col min="20" max="20" width="21.5703125" style="15" bestFit="1" customWidth="1"/>
    <col min="21" max="21" width="24" style="15" bestFit="1" customWidth="1"/>
    <col min="22" max="22" width="8.7109375" style="15" bestFit="1" customWidth="1"/>
    <col min="23" max="23" width="1" style="15" customWidth="1"/>
    <col min="24" max="24" width="35.140625" style="1243" customWidth="1"/>
    <col min="25" max="25" width="21.5703125" style="15" bestFit="1" customWidth="1"/>
    <col min="26" max="26" width="16.7109375" style="15" customWidth="1"/>
    <col min="27" max="27" width="20.85546875" style="1628" customWidth="1"/>
    <col min="28" max="28" width="20.85546875" style="1435" bestFit="1" customWidth="1"/>
    <col min="29" max="29" width="16.5703125" style="1402" hidden="1" customWidth="1"/>
    <col min="30" max="30" width="16.5703125" style="1402" bestFit="1" customWidth="1"/>
    <col min="31" max="31" width="19.42578125" style="1402" bestFit="1" customWidth="1"/>
    <col min="32" max="32" width="12.28515625" style="1402" hidden="1" customWidth="1"/>
    <col min="33" max="33" width="7.28515625" style="1402" bestFit="1" customWidth="1"/>
    <col min="34" max="34" width="18.7109375" style="1402" bestFit="1" customWidth="1"/>
    <col min="35" max="35" width="16" style="1402" bestFit="1" customWidth="1"/>
    <col min="36" max="36" width="7" style="1402" bestFit="1" customWidth="1"/>
    <col min="37" max="37" width="16.5703125" style="1402" hidden="1" customWidth="1"/>
    <col min="38" max="38" width="19.28515625" style="1402" hidden="1" customWidth="1"/>
    <col min="39" max="39" width="6.5703125" style="1402" hidden="1" customWidth="1"/>
    <col min="40" max="40" width="16.5703125" style="1402" bestFit="1" customWidth="1"/>
    <col min="41" max="41" width="12.28515625" style="1402" hidden="1" customWidth="1"/>
    <col min="42" max="42" width="14.42578125" style="1402" bestFit="1" customWidth="1"/>
    <col min="43" max="43" width="21.5703125" style="1402" bestFit="1" customWidth="1"/>
    <col min="44" max="44" width="11.5703125" style="1403" bestFit="1" customWidth="1"/>
    <col min="45" max="45" width="1.5703125" style="1403" customWidth="1"/>
    <col min="46" max="46" width="58.85546875" style="1404" hidden="1" customWidth="1"/>
    <col min="47" max="47" width="17.28515625" style="15" bestFit="1" customWidth="1"/>
    <col min="48" max="48" width="9.85546875" style="15" customWidth="1"/>
    <col min="49" max="49" width="18" style="15" customWidth="1"/>
    <col min="50" max="51" width="12.42578125" style="15" customWidth="1"/>
    <col min="52" max="52" width="7" style="15" customWidth="1"/>
    <col min="53" max="53" width="19.42578125" style="15" bestFit="1" customWidth="1"/>
    <col min="54" max="54" width="13.7109375" style="15" hidden="1" customWidth="1"/>
    <col min="55" max="55" width="9.7109375" style="15" customWidth="1"/>
    <col min="56" max="56" width="17.28515625" style="15" bestFit="1" customWidth="1"/>
    <col min="57" max="57" width="11.5703125" style="15" bestFit="1" customWidth="1"/>
    <col min="58" max="58" width="10.5703125" style="15" customWidth="1"/>
    <col min="59" max="59" width="20.140625" style="15" bestFit="1" customWidth="1"/>
    <col min="60" max="60" width="13.42578125" style="15" hidden="1" customWidth="1"/>
    <col min="61" max="61" width="10.140625" style="15" customWidth="1"/>
    <col min="62" max="62" width="20.85546875" style="1499" bestFit="1" customWidth="1"/>
    <col min="63" max="63" width="20.85546875" style="1499" customWidth="1"/>
    <col min="64" max="64" width="25.5703125" style="1695" customWidth="1"/>
    <col min="65" max="65" width="58.85546875" style="615" bestFit="1" customWidth="1"/>
    <col min="66" max="66" width="20.85546875" style="615" customWidth="1"/>
    <col min="67" max="67" width="21.85546875" style="15" customWidth="1"/>
    <col min="68" max="68" width="25.42578125" style="1660" customWidth="1"/>
    <col min="69" max="69" width="15.42578125" style="15" hidden="1" customWidth="1"/>
    <col min="70" max="70" width="15.28515625" style="15" hidden="1" customWidth="1"/>
    <col min="71" max="73" width="11.42578125" style="15" hidden="1" customWidth="1"/>
    <col min="74" max="74" width="2.140625" style="15" customWidth="1"/>
    <col min="76" max="76" width="14.5703125" style="15" customWidth="1"/>
    <col min="77" max="77" width="15.42578125" style="15" bestFit="1" customWidth="1"/>
    <col min="78" max="78" width="9.85546875" style="15" bestFit="1" customWidth="1"/>
    <col min="79" max="79" width="11.7109375" style="15" bestFit="1" customWidth="1"/>
    <col min="80" max="16384" width="11.42578125" style="15"/>
  </cols>
  <sheetData>
    <row r="1" spans="1:79" ht="23.25">
      <c r="A1" s="1928" t="s">
        <v>402</v>
      </c>
      <c r="B1" s="1929"/>
      <c r="C1" s="1929"/>
      <c r="D1" s="1929"/>
      <c r="E1" s="1929"/>
      <c r="F1" s="1929"/>
      <c r="G1" s="1929"/>
      <c r="H1" s="1929"/>
      <c r="I1" s="1929"/>
      <c r="J1" s="1929"/>
      <c r="K1" s="1929"/>
      <c r="L1" s="1929"/>
      <c r="M1" s="1929"/>
      <c r="N1" s="1929"/>
      <c r="O1" s="1929"/>
      <c r="P1" s="1929"/>
      <c r="Q1" s="1929"/>
      <c r="R1" s="1929"/>
      <c r="S1" s="1929"/>
      <c r="T1" s="1929"/>
      <c r="U1" s="1929"/>
      <c r="V1" s="1929"/>
      <c r="W1" s="1929"/>
      <c r="X1" s="1929"/>
      <c r="Y1" s="1929"/>
      <c r="Z1" s="1929"/>
      <c r="AA1" s="1929"/>
      <c r="AB1" s="1929"/>
      <c r="AC1" s="1929"/>
      <c r="AD1" s="1929"/>
      <c r="AE1" s="1929"/>
      <c r="AF1" s="1929"/>
      <c r="AG1" s="1929"/>
      <c r="AH1" s="1929"/>
      <c r="AI1" s="1929"/>
      <c r="AJ1" s="1929"/>
      <c r="AK1" s="1929"/>
      <c r="AL1" s="1929"/>
      <c r="AM1" s="1929"/>
      <c r="AN1" s="1929"/>
      <c r="AO1" s="1929"/>
      <c r="AP1" s="1929"/>
      <c r="AQ1" s="1929"/>
      <c r="AR1" s="1929"/>
      <c r="AS1" s="1929"/>
      <c r="AT1" s="1929"/>
      <c r="AU1" s="1929"/>
      <c r="AV1" s="1929"/>
      <c r="AW1" s="1929"/>
      <c r="AX1" s="1929"/>
      <c r="AY1" s="1929"/>
      <c r="AZ1" s="1929"/>
      <c r="BA1" s="1929"/>
      <c r="BB1" s="1929"/>
      <c r="BC1" s="1929"/>
      <c r="BD1" s="1929"/>
      <c r="BE1" s="1929"/>
      <c r="BF1" s="1929"/>
      <c r="BG1" s="1929"/>
      <c r="BH1" s="1929"/>
      <c r="BI1" s="1929"/>
      <c r="BJ1" s="1929"/>
      <c r="BK1" s="1929"/>
      <c r="BL1" s="1930"/>
    </row>
    <row r="2" spans="1:79" ht="24" thickBot="1">
      <c r="A2" s="1931"/>
      <c r="B2" s="1932"/>
      <c r="C2" s="1932"/>
      <c r="D2" s="1932"/>
      <c r="E2" s="1932"/>
      <c r="F2" s="1932"/>
      <c r="G2" s="1932"/>
      <c r="H2" s="1932"/>
      <c r="I2" s="1932"/>
      <c r="J2" s="1932"/>
      <c r="K2" s="1932"/>
      <c r="L2" s="1932"/>
      <c r="M2" s="1932"/>
      <c r="N2" s="1932"/>
      <c r="O2" s="1932"/>
      <c r="P2" s="1932"/>
      <c r="Q2" s="1932"/>
      <c r="R2" s="1932"/>
      <c r="S2" s="1932"/>
      <c r="T2" s="1932"/>
      <c r="U2" s="1932"/>
      <c r="V2" s="1932"/>
      <c r="W2" s="1932"/>
      <c r="X2" s="1932"/>
      <c r="Y2" s="1932"/>
      <c r="Z2" s="1932"/>
      <c r="AA2" s="1932"/>
      <c r="AB2" s="1932"/>
      <c r="AC2" s="1932"/>
      <c r="AD2" s="1932"/>
      <c r="AE2" s="1932"/>
      <c r="AF2" s="1932"/>
      <c r="AG2" s="1932"/>
      <c r="AH2" s="1932"/>
      <c r="AI2" s="1932"/>
      <c r="AJ2" s="1932"/>
      <c r="AK2" s="1932"/>
      <c r="AL2" s="1932"/>
      <c r="AM2" s="1932"/>
      <c r="AN2" s="1932"/>
      <c r="AO2" s="1932"/>
      <c r="AP2" s="1932"/>
      <c r="AQ2" s="1932"/>
      <c r="AR2" s="1932"/>
      <c r="AS2" s="1932"/>
      <c r="AT2" s="1932"/>
      <c r="AU2" s="1932"/>
      <c r="AV2" s="1932"/>
      <c r="AW2" s="1932"/>
      <c r="AX2" s="1932"/>
      <c r="AY2" s="1932"/>
      <c r="AZ2" s="1932"/>
      <c r="BA2" s="1932"/>
      <c r="BB2" s="1932"/>
      <c r="BC2" s="1932"/>
      <c r="BD2" s="1932"/>
      <c r="BE2" s="1932"/>
      <c r="BF2" s="1932"/>
      <c r="BG2" s="1932"/>
      <c r="BH2" s="1932"/>
      <c r="BI2" s="1932"/>
      <c r="BJ2" s="1932"/>
      <c r="BK2" s="1932"/>
      <c r="BL2" s="1933"/>
      <c r="BM2" s="616"/>
      <c r="BN2" s="616"/>
      <c r="BP2" s="1661"/>
      <c r="BY2" s="1558"/>
      <c r="BZ2" s="1558"/>
      <c r="CA2" s="1558"/>
    </row>
    <row r="3" spans="1:79" ht="23.25">
      <c r="A3" s="1869" t="s">
        <v>0</v>
      </c>
      <c r="B3" s="1881" t="s">
        <v>402</v>
      </c>
      <c r="C3" s="1882"/>
      <c r="D3" s="1882"/>
      <c r="E3" s="1882"/>
      <c r="F3" s="1882"/>
      <c r="G3" s="1882"/>
      <c r="H3" s="1882"/>
      <c r="I3" s="1882"/>
      <c r="J3" s="1882"/>
      <c r="K3" s="1882"/>
      <c r="L3" s="1882"/>
      <c r="M3" s="1882"/>
      <c r="N3" s="1882"/>
      <c r="O3" s="1882"/>
      <c r="P3" s="1882"/>
      <c r="Q3" s="1882"/>
      <c r="R3" s="1882"/>
      <c r="S3" s="1882"/>
      <c r="T3" s="1882"/>
      <c r="U3" s="1882"/>
      <c r="V3" s="1883"/>
      <c r="W3" s="1878"/>
      <c r="X3" s="1896"/>
      <c r="Y3" s="1890" t="s">
        <v>402</v>
      </c>
      <c r="Z3" s="1891"/>
      <c r="AA3" s="1891"/>
      <c r="AB3" s="1891"/>
      <c r="AC3" s="1891"/>
      <c r="AD3" s="1891"/>
      <c r="AE3" s="1891"/>
      <c r="AF3" s="1891"/>
      <c r="AG3" s="1891"/>
      <c r="AH3" s="1891"/>
      <c r="AI3" s="1891"/>
      <c r="AJ3" s="1891"/>
      <c r="AK3" s="1891"/>
      <c r="AL3" s="1891"/>
      <c r="AM3" s="1891"/>
      <c r="AN3" s="1891"/>
      <c r="AO3" s="1891"/>
      <c r="AP3" s="1891"/>
      <c r="AQ3" s="1891"/>
      <c r="AR3" s="1892"/>
      <c r="AS3" s="1913"/>
      <c r="AT3" s="1920" t="e">
        <f>#REF!</f>
        <v>#REF!</v>
      </c>
      <c r="AU3" s="1916" t="s">
        <v>402</v>
      </c>
      <c r="AV3" s="1916"/>
      <c r="AW3" s="1916"/>
      <c r="AX3" s="1916"/>
      <c r="AY3" s="1916"/>
      <c r="AZ3" s="1916"/>
      <c r="BA3" s="1916"/>
      <c r="BB3" s="1916"/>
      <c r="BC3" s="1916"/>
      <c r="BD3" s="1916"/>
      <c r="BE3" s="1916"/>
      <c r="BF3" s="1916"/>
      <c r="BG3" s="1916"/>
      <c r="BH3" s="1916"/>
      <c r="BI3" s="1917"/>
      <c r="BJ3" s="1907" t="s">
        <v>1</v>
      </c>
      <c r="BK3" s="1908"/>
      <c r="BL3" s="1909"/>
      <c r="BM3" s="617"/>
      <c r="BN3" s="617"/>
      <c r="BO3" s="1586"/>
      <c r="BP3" s="1662"/>
      <c r="BV3" s="1899"/>
    </row>
    <row r="4" spans="1:79" ht="24" thickBot="1">
      <c r="A4" s="1870"/>
      <c r="B4" s="1884"/>
      <c r="C4" s="1885"/>
      <c r="D4" s="1885"/>
      <c r="E4" s="1885"/>
      <c r="F4" s="1885"/>
      <c r="G4" s="1885"/>
      <c r="H4" s="1885"/>
      <c r="I4" s="1885"/>
      <c r="J4" s="1885"/>
      <c r="K4" s="1885"/>
      <c r="L4" s="1885"/>
      <c r="M4" s="1885"/>
      <c r="N4" s="1885"/>
      <c r="O4" s="1885"/>
      <c r="P4" s="1885"/>
      <c r="Q4" s="1885"/>
      <c r="R4" s="1885"/>
      <c r="S4" s="1885"/>
      <c r="T4" s="1885"/>
      <c r="U4" s="1885"/>
      <c r="V4" s="1886"/>
      <c r="W4" s="1879"/>
      <c r="X4" s="1897"/>
      <c r="Y4" s="1893"/>
      <c r="Z4" s="1894"/>
      <c r="AA4" s="1894"/>
      <c r="AB4" s="1894"/>
      <c r="AC4" s="1894"/>
      <c r="AD4" s="1894"/>
      <c r="AE4" s="1894"/>
      <c r="AF4" s="1894"/>
      <c r="AG4" s="1894"/>
      <c r="AH4" s="1894"/>
      <c r="AI4" s="1894"/>
      <c r="AJ4" s="1894"/>
      <c r="AK4" s="1894"/>
      <c r="AL4" s="1894"/>
      <c r="AM4" s="1894"/>
      <c r="AN4" s="1894"/>
      <c r="AO4" s="1894"/>
      <c r="AP4" s="1894"/>
      <c r="AQ4" s="1894"/>
      <c r="AR4" s="1895"/>
      <c r="AS4" s="1914"/>
      <c r="AT4" s="1921"/>
      <c r="AU4" s="1918"/>
      <c r="AV4" s="1918"/>
      <c r="AW4" s="1918"/>
      <c r="AX4" s="1918"/>
      <c r="AY4" s="1918"/>
      <c r="AZ4" s="1918"/>
      <c r="BA4" s="1918"/>
      <c r="BB4" s="1918"/>
      <c r="BC4" s="1918"/>
      <c r="BD4" s="1918"/>
      <c r="BE4" s="1918"/>
      <c r="BF4" s="1918"/>
      <c r="BG4" s="1918"/>
      <c r="BH4" s="1918"/>
      <c r="BI4" s="1919"/>
      <c r="BJ4" s="1907"/>
      <c r="BK4" s="1908"/>
      <c r="BL4" s="1909"/>
      <c r="BM4" s="618"/>
      <c r="BN4" s="618" t="e">
        <f>BN6-(SUM(BN7:BN60))</f>
        <v>#REF!</v>
      </c>
      <c r="BO4" s="1586"/>
      <c r="BP4" s="1663"/>
      <c r="BQ4" s="619">
        <f>0.5-BL10</f>
        <v>0.43462000000000001</v>
      </c>
      <c r="BV4" s="1900"/>
    </row>
    <row r="5" spans="1:79" ht="33.75" customHeight="1" thickBot="1">
      <c r="A5" s="1871"/>
      <c r="B5" s="1887" t="s">
        <v>2</v>
      </c>
      <c r="C5" s="1888"/>
      <c r="D5" s="1888"/>
      <c r="E5" s="1888"/>
      <c r="F5" s="1888"/>
      <c r="G5" s="1888"/>
      <c r="H5" s="1888"/>
      <c r="I5" s="1889"/>
      <c r="J5" s="1730"/>
      <c r="K5" s="1874" t="s">
        <v>3</v>
      </c>
      <c r="L5" s="1875"/>
      <c r="M5" s="1876"/>
      <c r="N5" s="1874" t="s">
        <v>4</v>
      </c>
      <c r="O5" s="1875"/>
      <c r="P5" s="1876"/>
      <c r="Q5" s="1874" t="s">
        <v>402</v>
      </c>
      <c r="R5" s="1875"/>
      <c r="S5" s="1876"/>
      <c r="T5" s="1874" t="s">
        <v>5</v>
      </c>
      <c r="U5" s="1875"/>
      <c r="V5" s="1876"/>
      <c r="W5" s="1879"/>
      <c r="X5" s="1898"/>
      <c r="Y5" s="1922" t="s">
        <v>6</v>
      </c>
      <c r="Z5" s="1924"/>
      <c r="AA5" s="1923"/>
      <c r="AB5" s="1925" t="s">
        <v>7</v>
      </c>
      <c r="AC5" s="1926"/>
      <c r="AD5" s="1927"/>
      <c r="AE5" s="1922" t="s">
        <v>8</v>
      </c>
      <c r="AF5" s="1924"/>
      <c r="AG5" s="1923"/>
      <c r="AH5" s="1922" t="s">
        <v>9</v>
      </c>
      <c r="AI5" s="1924"/>
      <c r="AJ5" s="1923"/>
      <c r="AK5" s="1925" t="s">
        <v>10</v>
      </c>
      <c r="AL5" s="1926"/>
      <c r="AM5" s="1927"/>
      <c r="AN5" s="1904" t="s">
        <v>11</v>
      </c>
      <c r="AO5" s="1905"/>
      <c r="AP5" s="1906"/>
      <c r="AQ5" s="1922" t="s">
        <v>12</v>
      </c>
      <c r="AR5" s="1923"/>
      <c r="AS5" s="1914"/>
      <c r="AT5" s="1921"/>
      <c r="AU5" s="1902" t="s">
        <v>13</v>
      </c>
      <c r="AV5" s="1902"/>
      <c r="AW5" s="1902" t="s">
        <v>14</v>
      </c>
      <c r="AX5" s="1902"/>
      <c r="AY5" s="1902"/>
      <c r="AZ5" s="620"/>
      <c r="BA5" s="1902" t="s">
        <v>15</v>
      </c>
      <c r="BB5" s="1902"/>
      <c r="BC5" s="1902"/>
      <c r="BD5" s="1902" t="s">
        <v>16</v>
      </c>
      <c r="BE5" s="1902"/>
      <c r="BF5" s="1902"/>
      <c r="BG5" s="1902" t="s">
        <v>17</v>
      </c>
      <c r="BH5" s="1902"/>
      <c r="BI5" s="1903"/>
      <c r="BJ5" s="1910"/>
      <c r="BK5" s="1911"/>
      <c r="BL5" s="1912"/>
      <c r="BM5" s="621"/>
      <c r="BN5" s="617"/>
      <c r="BO5" s="1586"/>
      <c r="BP5" s="1664" t="e">
        <f>#REF!-BJ6</f>
        <v>#REF!</v>
      </c>
      <c r="BQ5" s="622"/>
      <c r="BV5" s="1900"/>
    </row>
    <row r="6" spans="1:79" ht="136.5" thickTop="1" thickBot="1">
      <c r="A6" s="623" t="str">
        <f>X6</f>
        <v>Rémunération du personnel</v>
      </c>
      <c r="B6" s="624">
        <f>SUM(B7:B60)</f>
        <v>12120.085951614756</v>
      </c>
      <c r="C6" s="625" t="s">
        <v>18</v>
      </c>
      <c r="D6" s="626">
        <f>SUM(D7:D58)</f>
        <v>0.253</v>
      </c>
      <c r="E6" s="624">
        <f>SUM(E7:E58)</f>
        <v>0</v>
      </c>
      <c r="F6" s="627">
        <f>SUM(F7:F58)</f>
        <v>0</v>
      </c>
      <c r="G6" s="624">
        <f>SUM(G7:G58)</f>
        <v>12120.085951614756</v>
      </c>
      <c r="H6" s="625" t="s">
        <v>19</v>
      </c>
      <c r="I6" s="628">
        <f>SUM(I7:I58)</f>
        <v>0.253</v>
      </c>
      <c r="J6" s="1725">
        <f>D13+D22+D55</f>
        <v>0.253</v>
      </c>
      <c r="K6" s="624">
        <f>SUM(K7:K60)</f>
        <v>31654.135671766086</v>
      </c>
      <c r="L6" s="625" t="s">
        <v>20</v>
      </c>
      <c r="M6" s="1631">
        <f>M7+M10+M13+M22+M52+M58</f>
        <v>0.63238002979494201</v>
      </c>
      <c r="N6" s="624">
        <f>SUM(N7:N60)</f>
        <v>75869.423402349377</v>
      </c>
      <c r="O6" s="625" t="s">
        <v>20</v>
      </c>
      <c r="P6" s="1631">
        <f>P7+P10+P13+P16+P22+P25+P34+P37+P52+P55+P58</f>
        <v>1.7705457894616092</v>
      </c>
      <c r="Q6" s="624">
        <f>SUM(Q7:Q60)</f>
        <v>30925.212407713047</v>
      </c>
      <c r="R6" s="625" t="s">
        <v>19</v>
      </c>
      <c r="S6" s="629">
        <f>SUM(S7:S58)</f>
        <v>0.65379940000000003</v>
      </c>
      <c r="T6" s="624">
        <f>SUM(T7:T60)</f>
        <v>150568.85743344325</v>
      </c>
      <c r="U6" s="625" t="s">
        <v>18</v>
      </c>
      <c r="V6" s="630">
        <f>S6+P6+M6+D6</f>
        <v>3.3097252192565514</v>
      </c>
      <c r="W6" s="1879"/>
      <c r="X6" s="623" t="s">
        <v>21</v>
      </c>
      <c r="Y6" s="631">
        <f>SUM(Y7:Y60)</f>
        <v>372636.74818903673</v>
      </c>
      <c r="Z6" s="625" t="s">
        <v>19</v>
      </c>
      <c r="AA6" s="1602">
        <f>SUM(AA7:AA60)</f>
        <v>8.5026919417558879</v>
      </c>
      <c r="AB6" s="632">
        <f>SUM(AB7:AB60)</f>
        <v>117929.5292679087</v>
      </c>
      <c r="AC6" s="633" t="s">
        <v>19</v>
      </c>
      <c r="AD6" s="634">
        <f>SUM(AD7:AD58)</f>
        <v>3.129075864178648</v>
      </c>
      <c r="AE6" s="632">
        <f>SUM(AE7:AE60)</f>
        <v>9893.8178671106416</v>
      </c>
      <c r="AF6" s="633" t="s">
        <v>19</v>
      </c>
      <c r="AG6" s="635">
        <f>SUM(AG7:AG58)</f>
        <v>0.222</v>
      </c>
      <c r="AH6" s="631">
        <f>SUM(AH7:AH60)</f>
        <v>0</v>
      </c>
      <c r="AI6" s="636" t="s">
        <v>19</v>
      </c>
      <c r="AJ6" s="637">
        <f>SUM(AJ7:AJ58)</f>
        <v>0</v>
      </c>
      <c r="AK6" s="631">
        <f>SUM(AK7:AK58)</f>
        <v>0</v>
      </c>
      <c r="AL6" s="638" t="s">
        <v>22</v>
      </c>
      <c r="AM6" s="639">
        <f>SUM(AM7:AM58)</f>
        <v>0</v>
      </c>
      <c r="AN6" s="640">
        <f>SUM(AN7:AN60)</f>
        <v>3372.7218248685458</v>
      </c>
      <c r="AO6" s="641" t="s">
        <v>19</v>
      </c>
      <c r="AP6" s="642">
        <f>SUM(AP7:AP58)</f>
        <v>7.3761450000000006E-2</v>
      </c>
      <c r="AQ6" s="631">
        <f>SUM(AQ7:AQ60)</f>
        <v>500460.09532405622</v>
      </c>
      <c r="AR6" s="643">
        <f>SUM(AR7:AR60)</f>
        <v>11.853767805934536</v>
      </c>
      <c r="AS6" s="1914"/>
      <c r="AT6" s="644" t="s">
        <v>21</v>
      </c>
      <c r="AU6" s="645" t="e">
        <f>SUM(AU7:AU60)</f>
        <v>#REF!</v>
      </c>
      <c r="AV6" s="646">
        <f>SUM(AV7:AV58)</f>
        <v>0.21047082946160908</v>
      </c>
      <c r="AW6" s="647">
        <f>SUM(AW7:AW58)</f>
        <v>0</v>
      </c>
      <c r="AX6" s="648" t="s">
        <v>19</v>
      </c>
      <c r="AY6" s="649">
        <f>SUM(AY7:AY58)</f>
        <v>0</v>
      </c>
      <c r="AZ6" s="650">
        <f>SUM(AZ7:AZ60)</f>
        <v>0</v>
      </c>
      <c r="BA6" s="651">
        <f>SUM(BA7:BA60)</f>
        <v>18103.132071667977</v>
      </c>
      <c r="BB6" s="652" t="s">
        <v>20</v>
      </c>
      <c r="BC6" s="646">
        <f>SUM(BC7:BC58)</f>
        <v>0.36741617000000004</v>
      </c>
      <c r="BD6" s="645">
        <f>SUM(BD7:BD60)</f>
        <v>0</v>
      </c>
      <c r="BE6" s="652" t="s">
        <v>18</v>
      </c>
      <c r="BF6" s="646">
        <f>SUM(BF7:BF58)</f>
        <v>0</v>
      </c>
      <c r="BG6" s="645" t="e">
        <f>SUM(BG7:BG60)</f>
        <v>#REF!</v>
      </c>
      <c r="BH6" s="652" t="s">
        <v>18</v>
      </c>
      <c r="BI6" s="646">
        <f>SUM(BI7:BI58)</f>
        <v>0.57788699946160904</v>
      </c>
      <c r="BJ6" s="653">
        <f>SUM(BJ7:BJ60)</f>
        <v>679260.72802613874</v>
      </c>
      <c r="BK6" s="653" t="s">
        <v>23</v>
      </c>
      <c r="BL6" s="1679">
        <f>SUM(BL7:BL60)</f>
        <v>15.74038</v>
      </c>
      <c r="BM6" s="654" t="str">
        <f>X6</f>
        <v>Rémunération du personnel</v>
      </c>
      <c r="BN6" s="655" t="e">
        <f>SUM(BN7:BN60)</f>
        <v>#REF!</v>
      </c>
      <c r="BO6" s="1586"/>
      <c r="BP6" s="1665">
        <f>SUM(BP7:BP60)</f>
        <v>15.716380024652697</v>
      </c>
      <c r="BV6" s="1901"/>
    </row>
    <row r="7" spans="1:79" ht="27.75" thickBot="1">
      <c r="A7" s="656" t="s">
        <v>402</v>
      </c>
      <c r="B7" s="657"/>
      <c r="C7" s="1761">
        <f>+B7/T7</f>
        <v>0</v>
      </c>
      <c r="D7" s="659"/>
      <c r="E7" s="660">
        <f>BJ7*F7/BL7</f>
        <v>0</v>
      </c>
      <c r="F7" s="659"/>
      <c r="G7" s="660">
        <f>B7+E7</f>
        <v>0</v>
      </c>
      <c r="H7" s="658"/>
      <c r="I7" s="661">
        <f>F7+D7</f>
        <v>0</v>
      </c>
      <c r="J7" s="1706"/>
      <c r="K7" s="662">
        <f>BJ7*M7/BL7</f>
        <v>3327.2979999999998</v>
      </c>
      <c r="L7" s="665">
        <f t="shared" ref="L7:L15" si="0">+K7/T7</f>
        <v>0.5</v>
      </c>
      <c r="M7" s="1632">
        <v>1.2500000000000001E-2</v>
      </c>
      <c r="N7" s="664">
        <f>BJ7*P7/BL7</f>
        <v>3327.2979999999998</v>
      </c>
      <c r="O7" s="665">
        <f t="shared" ref="O7:O18" si="1">+N7/T7</f>
        <v>0.5</v>
      </c>
      <c r="P7" s="1649">
        <v>1.2500000000000001E-2</v>
      </c>
      <c r="Q7" s="1511"/>
      <c r="R7" s="1741">
        <f>+Q7/T7</f>
        <v>0</v>
      </c>
      <c r="S7" s="1513"/>
      <c r="T7" s="666">
        <f>B7+K7+N7+Q7</f>
        <v>6654.5959999999995</v>
      </c>
      <c r="U7" s="1821">
        <f t="shared" ref="U7:U27" si="2">+T7/BJ7</f>
        <v>0.2</v>
      </c>
      <c r="V7" s="668"/>
      <c r="W7" s="1879"/>
      <c r="X7" s="656" t="s">
        <v>402</v>
      </c>
      <c r="Y7" s="670">
        <f>BJ7*AA7/BL7</f>
        <v>18632.8688</v>
      </c>
      <c r="Z7" s="671">
        <f t="shared" ref="Z7:Z21" si="3">+Y7/AQ7</f>
        <v>1</v>
      </c>
      <c r="AA7" s="1603">
        <f>0.04/BL7-0.25</f>
        <v>7.0000000000000007E-2</v>
      </c>
      <c r="AB7" s="673">
        <f>BJ7*AD7/$BL7</f>
        <v>0</v>
      </c>
      <c r="AC7" s="1740">
        <f>+AB7/AQ7</f>
        <v>0</v>
      </c>
      <c r="AD7" s="674">
        <v>0</v>
      </c>
      <c r="AE7" s="675">
        <f>BJ7*$AG7/$BL7</f>
        <v>0</v>
      </c>
      <c r="AF7" s="676" t="s">
        <v>24</v>
      </c>
      <c r="AG7" s="676">
        <v>0</v>
      </c>
      <c r="AH7" s="677">
        <f>BJ7*$AJ7/$BL7</f>
        <v>0</v>
      </c>
      <c r="AI7" s="678">
        <f>+AH7/AQ7</f>
        <v>0</v>
      </c>
      <c r="AJ7" s="679"/>
      <c r="AK7" s="680">
        <f>BJ7*$AM7/$BL7</f>
        <v>0</v>
      </c>
      <c r="AL7" s="681">
        <v>8.0136200000000008E-3</v>
      </c>
      <c r="AM7" s="682"/>
      <c r="AN7" s="683">
        <f>BJ7*$AP7/$BL7</f>
        <v>0</v>
      </c>
      <c r="AO7" s="684">
        <f>+AN7/AQ7</f>
        <v>0</v>
      </c>
      <c r="AP7" s="685"/>
      <c r="AQ7" s="686">
        <f>Y7+AB7+AE7+AH7+AK7</f>
        <v>18632.8688</v>
      </c>
      <c r="AR7" s="687">
        <f>AA7+AD7+AG7+AJ7+AM7</f>
        <v>7.0000000000000007E-2</v>
      </c>
      <c r="AS7" s="1914"/>
      <c r="AT7" s="688" t="str">
        <f>BM7</f>
        <v>XX</v>
      </c>
      <c r="AU7" s="689">
        <f>BJ7*AV7/BL7</f>
        <v>7985.5151999999989</v>
      </c>
      <c r="AV7" s="690">
        <v>0.03</v>
      </c>
      <c r="AW7" s="691">
        <f>BJ7*AY7/BL7</f>
        <v>0</v>
      </c>
      <c r="AX7" s="692"/>
      <c r="AY7" s="693">
        <v>0</v>
      </c>
      <c r="AZ7" s="693"/>
      <c r="BA7" s="691">
        <f>BJ7*$BC7/$BL7</f>
        <v>0</v>
      </c>
      <c r="BB7" s="692">
        <f>+BA7/BG7</f>
        <v>0</v>
      </c>
      <c r="BC7" s="693">
        <v>0</v>
      </c>
      <c r="BD7" s="694">
        <f>BJ7*BF7/BL7</f>
        <v>0</v>
      </c>
      <c r="BE7" s="695">
        <f>+BD7/BG7</f>
        <v>0</v>
      </c>
      <c r="BF7" s="696">
        <v>0</v>
      </c>
      <c r="BG7" s="697">
        <f t="shared" ref="BG7:BG15" si="4">AU7+BA7+BD7</f>
        <v>7985.5151999999989</v>
      </c>
      <c r="BH7" s="698">
        <f t="shared" ref="BH7:BH15" si="5">+BG7/BJ7</f>
        <v>0.24</v>
      </c>
      <c r="BI7" s="699">
        <f>AV7+AZ7+BC7+BF7</f>
        <v>0.03</v>
      </c>
      <c r="BJ7" s="700">
        <f>3086.43+3088.86+27097.69</f>
        <v>33272.979999999996</v>
      </c>
      <c r="BK7" s="1742" t="e">
        <f>+BH7+#REF!+U7</f>
        <v>#REF!</v>
      </c>
      <c r="BL7" s="1680">
        <v>0.125</v>
      </c>
      <c r="BM7" s="656" t="s">
        <v>402</v>
      </c>
      <c r="BN7" s="701">
        <f t="shared" ref="BN7:BN38" si="6">BG7+AQ7+T7</f>
        <v>33272.979999999996</v>
      </c>
      <c r="BO7" s="1659">
        <f>BL7-BP7</f>
        <v>2.4999999999999994E-2</v>
      </c>
      <c r="BP7" s="1666">
        <f>BI7+AR7+V7</f>
        <v>0.1</v>
      </c>
      <c r="BQ7" s="24">
        <f>BD7+BA7+AW7+AU7+AN7+AK7+AH7+AE7+AB7+Y7+Q7+N7+K7+G7</f>
        <v>33272.979999999996</v>
      </c>
      <c r="BR7" s="702">
        <f>BJ7-BQ7</f>
        <v>0</v>
      </c>
      <c r="BV7" s="669" t="s">
        <v>25</v>
      </c>
      <c r="BX7" s="24">
        <f t="shared" ref="BX7:BX38" si="7">B7+K7+N7+Q7+Y7+AB7+AE7+AH7+AU7+BA7+BD7</f>
        <v>33272.980000000003</v>
      </c>
      <c r="BY7" s="24">
        <f t="shared" ref="BY7:BY41" si="8">BJ7-BX7</f>
        <v>0</v>
      </c>
      <c r="CA7" s="703">
        <f>BP7-BL7</f>
        <v>-2.4999999999999994E-2</v>
      </c>
    </row>
    <row r="8" spans="1:79" ht="27.75" thickBot="1">
      <c r="A8" s="704"/>
      <c r="B8" s="705"/>
      <c r="C8" s="706"/>
      <c r="D8" s="707"/>
      <c r="E8" s="708"/>
      <c r="F8" s="707"/>
      <c r="G8" s="708">
        <f>B8+E8</f>
        <v>0</v>
      </c>
      <c r="H8" s="709"/>
      <c r="I8" s="710"/>
      <c r="J8" s="1707"/>
      <c r="K8" s="711">
        <f>BJ8*M7</f>
        <v>30.682500000000001</v>
      </c>
      <c r="L8" s="712">
        <f t="shared" si="0"/>
        <v>0.5</v>
      </c>
      <c r="M8" s="1633"/>
      <c r="N8" s="713">
        <f>BJ8*P7</f>
        <v>30.682500000000001</v>
      </c>
      <c r="O8" s="714">
        <f t="shared" si="1"/>
        <v>0.5</v>
      </c>
      <c r="P8" s="1650"/>
      <c r="Q8" s="1514"/>
      <c r="R8" s="1515"/>
      <c r="S8" s="1516"/>
      <c r="T8" s="715">
        <f t="shared" ref="T8:T27" si="9">B8+K8+N8+Q8</f>
        <v>61.365000000000002</v>
      </c>
      <c r="U8" s="716">
        <f t="shared" si="2"/>
        <v>2.5000000000000001E-2</v>
      </c>
      <c r="V8" s="717"/>
      <c r="W8" s="1879"/>
      <c r="X8" s="718"/>
      <c r="Y8" s="719">
        <f>BJ8*AA7</f>
        <v>171.822</v>
      </c>
      <c r="Z8" s="1805">
        <f t="shared" si="3"/>
        <v>1</v>
      </c>
      <c r="AA8" s="1604"/>
      <c r="AB8" s="720">
        <f>BJ8*AC7</f>
        <v>0</v>
      </c>
      <c r="AC8" s="721"/>
      <c r="AD8" s="722"/>
      <c r="AE8" s="723"/>
      <c r="AF8" s="724"/>
      <c r="AG8" s="725"/>
      <c r="AH8" s="726"/>
      <c r="AI8" s="727"/>
      <c r="AJ8" s="728"/>
      <c r="AK8" s="729"/>
      <c r="AL8" s="730"/>
      <c r="AM8" s="731"/>
      <c r="AN8" s="732"/>
      <c r="AO8" s="733"/>
      <c r="AP8" s="734"/>
      <c r="AQ8" s="735">
        <f>Y8+AB8+AE8+AH8+AK8</f>
        <v>171.822</v>
      </c>
      <c r="AR8" s="736"/>
      <c r="AS8" s="1914"/>
      <c r="AT8" s="688"/>
      <c r="AU8" s="737">
        <f>BJ8*AV7/BL7</f>
        <v>589.10399999999993</v>
      </c>
      <c r="AV8" s="738"/>
      <c r="AW8" s="739"/>
      <c r="AX8" s="740"/>
      <c r="AY8" s="741"/>
      <c r="AZ8" s="741"/>
      <c r="BA8" s="739">
        <f>BJ8*BB7</f>
        <v>0</v>
      </c>
      <c r="BB8" s="741"/>
      <c r="BC8" s="741"/>
      <c r="BD8" s="742">
        <f>BJ8*BE7</f>
        <v>0</v>
      </c>
      <c r="BE8" s="743"/>
      <c r="BF8" s="744"/>
      <c r="BG8" s="745">
        <f t="shared" si="4"/>
        <v>589.10399999999993</v>
      </c>
      <c r="BH8" s="746">
        <f t="shared" si="5"/>
        <v>0.24</v>
      </c>
      <c r="BI8" s="747"/>
      <c r="BJ8" s="748">
        <v>2454.6</v>
      </c>
      <c r="BK8" s="1743"/>
      <c r="BL8" s="1681"/>
      <c r="BM8" s="656" t="s">
        <v>402</v>
      </c>
      <c r="BN8" s="701">
        <f t="shared" si="6"/>
        <v>822.29099999999994</v>
      </c>
      <c r="BO8" s="1587"/>
      <c r="BP8" s="1667"/>
      <c r="BQ8" s="24"/>
      <c r="BR8" s="702"/>
      <c r="BV8" s="749"/>
      <c r="BX8" s="24">
        <f t="shared" si="7"/>
        <v>822.29099999999994</v>
      </c>
      <c r="BY8" s="24">
        <f t="shared" si="8"/>
        <v>1632.309</v>
      </c>
      <c r="CA8" s="703">
        <f>BP8-BL8</f>
        <v>0</v>
      </c>
    </row>
    <row r="9" spans="1:79" ht="27.75" thickBot="1">
      <c r="A9" s="750"/>
      <c r="B9" s="751"/>
      <c r="C9" s="752"/>
      <c r="D9" s="753"/>
      <c r="E9" s="754"/>
      <c r="F9" s="753"/>
      <c r="G9" s="754">
        <f t="shared" ref="G9:G15" si="10">B9+E9</f>
        <v>0</v>
      </c>
      <c r="H9" s="752"/>
      <c r="I9" s="755"/>
      <c r="J9" s="1708"/>
      <c r="K9" s="756">
        <f>BJ9*M7</f>
        <v>8.2336250000000017</v>
      </c>
      <c r="L9" s="757">
        <f t="shared" si="0"/>
        <v>0.5</v>
      </c>
      <c r="M9" s="1634"/>
      <c r="N9" s="758">
        <f>BJ9*P7</f>
        <v>8.2336250000000017</v>
      </c>
      <c r="O9" s="759">
        <f t="shared" si="1"/>
        <v>0.5</v>
      </c>
      <c r="P9" s="1651"/>
      <c r="Q9" s="1517"/>
      <c r="R9" s="1518"/>
      <c r="S9" s="1519"/>
      <c r="T9" s="760">
        <f t="shared" si="9"/>
        <v>16.467250000000003</v>
      </c>
      <c r="U9" s="761">
        <f t="shared" si="2"/>
        <v>2.5000000000000005E-2</v>
      </c>
      <c r="V9" s="762"/>
      <c r="W9" s="1879"/>
      <c r="X9" s="763"/>
      <c r="Y9" s="764">
        <f>BJ9*AA7</f>
        <v>46.108300000000007</v>
      </c>
      <c r="Z9" s="1807">
        <f t="shared" si="3"/>
        <v>1</v>
      </c>
      <c r="AA9" s="1605"/>
      <c r="AB9" s="765">
        <f>BJ9*AC7</f>
        <v>0</v>
      </c>
      <c r="AC9" s="766"/>
      <c r="AD9" s="766"/>
      <c r="AE9" s="767"/>
      <c r="AF9" s="768"/>
      <c r="AG9" s="769"/>
      <c r="AH9" s="770"/>
      <c r="AI9" s="771"/>
      <c r="AJ9" s="772"/>
      <c r="AK9" s="773"/>
      <c r="AL9" s="774"/>
      <c r="AM9" s="775"/>
      <c r="AN9" s="776"/>
      <c r="AO9" s="777"/>
      <c r="AP9" s="778"/>
      <c r="AQ9" s="779">
        <f>Y9+AB9+AE9+AH9+AK9</f>
        <v>46.108300000000007</v>
      </c>
      <c r="AR9" s="780"/>
      <c r="AS9" s="1914"/>
      <c r="AT9" s="688"/>
      <c r="AU9" s="781">
        <f>BJ9*AV7/BL7</f>
        <v>158.0856</v>
      </c>
      <c r="AV9" s="783"/>
      <c r="AW9" s="784"/>
      <c r="AX9" s="785"/>
      <c r="AY9" s="786"/>
      <c r="AZ9" s="786"/>
      <c r="BA9" s="784">
        <f>BJ9*BB7</f>
        <v>0</v>
      </c>
      <c r="BB9" s="785"/>
      <c r="BC9" s="786"/>
      <c r="BD9" s="787">
        <f>BJ9*BE7</f>
        <v>0</v>
      </c>
      <c r="BE9" s="788"/>
      <c r="BF9" s="789"/>
      <c r="BG9" s="790">
        <f t="shared" si="4"/>
        <v>158.0856</v>
      </c>
      <c r="BH9" s="791">
        <f t="shared" si="5"/>
        <v>0.24</v>
      </c>
      <c r="BI9" s="792"/>
      <c r="BJ9" s="793">
        <v>658.69</v>
      </c>
      <c r="BK9" s="1744"/>
      <c r="BL9" s="1682"/>
      <c r="BM9" s="656" t="s">
        <v>402</v>
      </c>
      <c r="BN9" s="794">
        <f t="shared" si="6"/>
        <v>220.66115000000002</v>
      </c>
      <c r="BO9" s="1588"/>
      <c r="BP9" s="1668"/>
      <c r="BQ9" s="795"/>
      <c r="BR9" s="796"/>
      <c r="BS9" s="797"/>
      <c r="BT9" s="797"/>
      <c r="BU9" s="797"/>
      <c r="BV9" s="749"/>
      <c r="BX9" s="795">
        <f t="shared" si="7"/>
        <v>220.66115000000002</v>
      </c>
      <c r="BY9" s="795">
        <f t="shared" si="8"/>
        <v>438.02885000000003</v>
      </c>
      <c r="BZ9" s="797"/>
      <c r="CA9" s="798">
        <f t="shared" ref="CA9:CA41" si="11">BP9-BL9</f>
        <v>0</v>
      </c>
    </row>
    <row r="10" spans="1:79" ht="27.75" thickBot="1">
      <c r="A10" s="656" t="s">
        <v>402</v>
      </c>
      <c r="B10" s="657"/>
      <c r="C10" s="658"/>
      <c r="D10" s="659"/>
      <c r="E10" s="660">
        <f>BJ10*F10/BL10</f>
        <v>0</v>
      </c>
      <c r="F10" s="659"/>
      <c r="G10" s="660">
        <f t="shared" si="10"/>
        <v>0</v>
      </c>
      <c r="H10" s="658"/>
      <c r="I10" s="661">
        <f>F10+D10</f>
        <v>0</v>
      </c>
      <c r="J10" s="1706"/>
      <c r="K10" s="662">
        <f>BJ10*M10/BL10</f>
        <v>320.4275992547885</v>
      </c>
      <c r="L10" s="1817">
        <f t="shared" si="0"/>
        <v>0.5</v>
      </c>
      <c r="M10" s="1632">
        <f>0.0002/BL10</f>
        <v>3.0590394616090552E-3</v>
      </c>
      <c r="N10" s="664">
        <f>BJ10*P10/BL10</f>
        <v>320.4275992547885</v>
      </c>
      <c r="O10" s="665">
        <f t="shared" si="1"/>
        <v>0.5</v>
      </c>
      <c r="P10" s="1649">
        <f>0.0002/BL10</f>
        <v>3.0590394616090552E-3</v>
      </c>
      <c r="Q10" s="1511"/>
      <c r="R10" s="1512"/>
      <c r="S10" s="1513"/>
      <c r="T10" s="666">
        <f t="shared" si="9"/>
        <v>640.85519850957701</v>
      </c>
      <c r="U10" s="667">
        <f t="shared" si="2"/>
        <v>9.3577224276814183E-2</v>
      </c>
      <c r="V10" s="668"/>
      <c r="W10" s="1879"/>
      <c r="X10" s="656" t="s">
        <v>402</v>
      </c>
      <c r="Y10" s="670">
        <f>BJ10*AA10/BL10</f>
        <v>5041.2008876024092</v>
      </c>
      <c r="Z10" s="671">
        <f t="shared" si="3"/>
        <v>0.85630877897925017</v>
      </c>
      <c r="AA10" s="1603">
        <f>0.00314654599/BL10</f>
        <v>4.812704175588866E-2</v>
      </c>
      <c r="AB10" s="673">
        <f>BJ10*AD10/$BL10</f>
        <v>845.92886203264163</v>
      </c>
      <c r="AC10" s="1740">
        <f t="shared" ref="AC10:AC15" si="12">+AB10/AQ10</f>
        <v>0.14369122102074983</v>
      </c>
      <c r="AD10" s="674">
        <f>0.000528/BL10</f>
        <v>8.0758641786479058E-3</v>
      </c>
      <c r="AE10" s="675">
        <f>BJ10*$AG10/$BL10</f>
        <v>0</v>
      </c>
      <c r="AF10" s="799">
        <f>AG10/BL10</f>
        <v>0</v>
      </c>
      <c r="AG10" s="676">
        <v>0</v>
      </c>
      <c r="AH10" s="677">
        <f>BJ10*$AJ10/$BL10</f>
        <v>0</v>
      </c>
      <c r="AI10" s="679"/>
      <c r="AJ10" s="679"/>
      <c r="AK10" s="680">
        <f>BJ10*$AM10/$BL10</f>
        <v>0</v>
      </c>
      <c r="AL10" s="681">
        <v>8.9999999999999993E-3</v>
      </c>
      <c r="AM10" s="682"/>
      <c r="AN10" s="683">
        <f>BJ10*$AP10/$BL10</f>
        <v>0</v>
      </c>
      <c r="AO10" s="800"/>
      <c r="AP10" s="685"/>
      <c r="AQ10" s="686">
        <f t="shared" ref="AQ10:AQ60" si="13">Y10+AB10+AE10+AH10+AK10</f>
        <v>5887.1297496350508</v>
      </c>
      <c r="AR10" s="687">
        <f>AA10+AD10+AG10+AJ10+AM10</f>
        <v>5.6202905934536564E-2</v>
      </c>
      <c r="AS10" s="1914"/>
      <c r="AT10" s="801" t="str">
        <f>BM10</f>
        <v>XX</v>
      </c>
      <c r="AU10" s="689">
        <f>BJ10*AV10/BL10</f>
        <v>320.4275992547885</v>
      </c>
      <c r="AV10" s="690">
        <f>0.0002/BL10</f>
        <v>3.0590394616090552E-3</v>
      </c>
      <c r="AW10" s="691">
        <f>BJ10*AY10/BL10</f>
        <v>0</v>
      </c>
      <c r="AX10" s="693"/>
      <c r="AY10" s="693">
        <v>0</v>
      </c>
      <c r="AZ10" s="693"/>
      <c r="BA10" s="691">
        <f>BJ10*$BC10/$BL10</f>
        <v>0</v>
      </c>
      <c r="BB10" s="692">
        <f>BC10/BL10</f>
        <v>0</v>
      </c>
      <c r="BC10" s="693">
        <v>0</v>
      </c>
      <c r="BD10" s="694">
        <f>BJ10*BF10/BL10</f>
        <v>0</v>
      </c>
      <c r="BE10" s="695">
        <f>BF10/BL10</f>
        <v>0</v>
      </c>
      <c r="BF10" s="696">
        <v>0</v>
      </c>
      <c r="BG10" s="697">
        <f t="shared" si="4"/>
        <v>320.4275992547885</v>
      </c>
      <c r="BH10" s="803">
        <f t="shared" si="5"/>
        <v>4.6788612138407092E-2</v>
      </c>
      <c r="BI10" s="699">
        <f>AV10+AZ10+BC10+BF10</f>
        <v>3.0590394616090552E-3</v>
      </c>
      <c r="BJ10" s="700">
        <v>6848.41</v>
      </c>
      <c r="BK10" s="1742" t="e">
        <f>+BH10+#REF!+U10</f>
        <v>#REF!</v>
      </c>
      <c r="BL10" s="1683">
        <v>6.5379999999999994E-2</v>
      </c>
      <c r="BM10" s="656" t="s">
        <v>402</v>
      </c>
      <c r="BN10" s="701">
        <f t="shared" si="6"/>
        <v>6848.4125473994163</v>
      </c>
      <c r="BO10" s="1587">
        <f>BL10-BP10</f>
        <v>-2.4319363731151178E-8</v>
      </c>
      <c r="BP10" s="1702">
        <f>D10+M10+P10+S10+AA10+AD10+AG10+AJ10+AV10+BC10+BF10</f>
        <v>6.5380024319363725E-2</v>
      </c>
      <c r="BQ10" s="24">
        <f>BD10+BA10+AW10+AU10+AN10+AK10+AH10+AE10+AB10+Y10+Q10+N10+K10+G10</f>
        <v>6848.4125473994154</v>
      </c>
      <c r="BR10" s="702">
        <f>BJ10-BQ10</f>
        <v>-2.5473994155618129E-3</v>
      </c>
      <c r="BV10" s="749" t="s">
        <v>28</v>
      </c>
      <c r="BX10" s="24">
        <f t="shared" si="7"/>
        <v>6848.4125473994163</v>
      </c>
      <c r="BY10" s="24">
        <f t="shared" si="8"/>
        <v>-2.5473994164713076E-3</v>
      </c>
      <c r="CA10" s="703">
        <f>BP10-BL10</f>
        <v>2.4319363731151178E-8</v>
      </c>
    </row>
    <row r="11" spans="1:79" ht="27.75" thickBot="1">
      <c r="A11" s="704"/>
      <c r="B11" s="705"/>
      <c r="C11" s="706"/>
      <c r="D11" s="707"/>
      <c r="E11" s="708"/>
      <c r="F11" s="707"/>
      <c r="G11" s="708">
        <f t="shared" si="10"/>
        <v>0</v>
      </c>
      <c r="H11" s="709"/>
      <c r="I11" s="710"/>
      <c r="J11" s="1707"/>
      <c r="K11" s="711">
        <f>BJ11*M10</f>
        <v>1.3246252676659531</v>
      </c>
      <c r="L11" s="1818">
        <f t="shared" si="0"/>
        <v>0.5</v>
      </c>
      <c r="M11" s="1633"/>
      <c r="N11" s="713">
        <f>BJ11*P10</f>
        <v>1.3246252676659531</v>
      </c>
      <c r="O11" s="714">
        <f t="shared" si="1"/>
        <v>0.5</v>
      </c>
      <c r="P11" s="1650"/>
      <c r="Q11" s="1514"/>
      <c r="R11" s="1549"/>
      <c r="S11" s="1516"/>
      <c r="T11" s="715">
        <f t="shared" si="9"/>
        <v>2.6492505353319062</v>
      </c>
      <c r="U11" s="716">
        <f t="shared" si="2"/>
        <v>6.1180789232181112E-3</v>
      </c>
      <c r="V11" s="717"/>
      <c r="W11" s="1879"/>
      <c r="X11" s="718"/>
      <c r="Y11" s="719">
        <f>BJ11*Z10</f>
        <v>370.79882747359488</v>
      </c>
      <c r="Z11" s="804">
        <f t="shared" si="3"/>
        <v>0.85630877897925017</v>
      </c>
      <c r="AA11" s="1604"/>
      <c r="AB11" s="720">
        <f>BJ11*AC10</f>
        <v>62.221172526405084</v>
      </c>
      <c r="AC11" s="805">
        <f t="shared" si="12"/>
        <v>0.14369122102074983</v>
      </c>
      <c r="AD11" s="722"/>
      <c r="AE11" s="723">
        <f>BJ11*AF10</f>
        <v>0</v>
      </c>
      <c r="AF11" s="806"/>
      <c r="AG11" s="725"/>
      <c r="AH11" s="726"/>
      <c r="AI11" s="728"/>
      <c r="AJ11" s="728"/>
      <c r="AK11" s="729"/>
      <c r="AL11" s="730"/>
      <c r="AM11" s="731"/>
      <c r="AN11" s="732"/>
      <c r="AO11" s="807"/>
      <c r="AP11" s="734"/>
      <c r="AQ11" s="735">
        <f t="shared" si="13"/>
        <v>433.02</v>
      </c>
      <c r="AR11" s="736"/>
      <c r="AS11" s="1914"/>
      <c r="AT11" s="801"/>
      <c r="AU11" s="737">
        <f>BJ11*AV10/BL10</f>
        <v>20.260404828173037</v>
      </c>
      <c r="AV11" s="738"/>
      <c r="AW11" s="739"/>
      <c r="AX11" s="741"/>
      <c r="AY11" s="741"/>
      <c r="AZ11" s="741"/>
      <c r="BA11" s="739">
        <f>BJ11*BB10</f>
        <v>0</v>
      </c>
      <c r="BB11" s="740"/>
      <c r="BC11" s="741"/>
      <c r="BD11" s="742">
        <f>BJ11*BE10</f>
        <v>0</v>
      </c>
      <c r="BE11" s="809"/>
      <c r="BF11" s="744"/>
      <c r="BG11" s="745">
        <f t="shared" si="4"/>
        <v>20.260404828173037</v>
      </c>
      <c r="BH11" s="810">
        <f t="shared" si="5"/>
        <v>4.6788612138407092E-2</v>
      </c>
      <c r="BI11" s="747"/>
      <c r="BJ11" s="748">
        <v>433.02</v>
      </c>
      <c r="BK11" s="1743"/>
      <c r="BL11" s="1681"/>
      <c r="BM11" s="656" t="s">
        <v>402</v>
      </c>
      <c r="BN11" s="701">
        <f t="shared" si="6"/>
        <v>455.92965536350493</v>
      </c>
      <c r="BO11" s="1587"/>
      <c r="BP11" s="1667"/>
      <c r="BQ11" s="24"/>
      <c r="BR11" s="702"/>
      <c r="BV11" s="718"/>
      <c r="BX11" s="24">
        <f t="shared" si="7"/>
        <v>455.92965536350493</v>
      </c>
      <c r="BY11" s="24">
        <f t="shared" si="8"/>
        <v>-22.909655363504953</v>
      </c>
      <c r="CA11" s="703">
        <f t="shared" si="11"/>
        <v>0</v>
      </c>
    </row>
    <row r="12" spans="1:79" ht="27.75" thickBot="1">
      <c r="A12" s="750"/>
      <c r="B12" s="751"/>
      <c r="C12" s="752"/>
      <c r="D12" s="753"/>
      <c r="E12" s="754"/>
      <c r="F12" s="753"/>
      <c r="G12" s="754">
        <f t="shared" si="10"/>
        <v>0</v>
      </c>
      <c r="H12" s="752"/>
      <c r="I12" s="755"/>
      <c r="J12" s="1708"/>
      <c r="K12" s="756">
        <f>BJ12*M10</f>
        <v>0.684765983481187</v>
      </c>
      <c r="L12" s="1820">
        <f t="shared" si="0"/>
        <v>0.5</v>
      </c>
      <c r="M12" s="1634"/>
      <c r="N12" s="758">
        <f>BJ12*P10</f>
        <v>0.684765983481187</v>
      </c>
      <c r="O12" s="759">
        <f t="shared" si="1"/>
        <v>0.5</v>
      </c>
      <c r="P12" s="1651"/>
      <c r="Q12" s="1517"/>
      <c r="R12" s="1518"/>
      <c r="S12" s="1519"/>
      <c r="T12" s="760">
        <f t="shared" si="9"/>
        <v>1.369531966962374</v>
      </c>
      <c r="U12" s="761">
        <f t="shared" si="2"/>
        <v>6.1180789232181104E-3</v>
      </c>
      <c r="V12" s="762"/>
      <c r="W12" s="1879"/>
      <c r="X12" s="763"/>
      <c r="Y12" s="764">
        <f>BJ12*Z10</f>
        <v>191.68472017450514</v>
      </c>
      <c r="Z12" s="811">
        <f t="shared" si="3"/>
        <v>0.85630877897925017</v>
      </c>
      <c r="AA12" s="1605"/>
      <c r="AB12" s="765">
        <f>BJ12*AC10</f>
        <v>32.165279825494849</v>
      </c>
      <c r="AC12" s="812">
        <f t="shared" si="12"/>
        <v>0.14369122102074983</v>
      </c>
      <c r="AD12" s="766"/>
      <c r="AE12" s="767">
        <f>BJ12*AF10</f>
        <v>0</v>
      </c>
      <c r="AF12" s="813"/>
      <c r="AG12" s="769"/>
      <c r="AH12" s="770"/>
      <c r="AI12" s="772"/>
      <c r="AJ12" s="772"/>
      <c r="AK12" s="773"/>
      <c r="AL12" s="774"/>
      <c r="AM12" s="775"/>
      <c r="AN12" s="776"/>
      <c r="AO12" s="814"/>
      <c r="AP12" s="778"/>
      <c r="AQ12" s="779">
        <f t="shared" si="13"/>
        <v>223.85</v>
      </c>
      <c r="AR12" s="780"/>
      <c r="AS12" s="1914"/>
      <c r="AT12" s="801"/>
      <c r="AU12" s="781">
        <f>BJ12*AV10/BL10</f>
        <v>10.473630827182427</v>
      </c>
      <c r="AV12" s="783"/>
      <c r="AW12" s="784"/>
      <c r="AX12" s="786"/>
      <c r="AY12" s="786"/>
      <c r="AZ12" s="786"/>
      <c r="BA12" s="784">
        <f>BJ12*BB10</f>
        <v>0</v>
      </c>
      <c r="BB12" s="785"/>
      <c r="BC12" s="786"/>
      <c r="BD12" s="787">
        <f>BJ12*BE10</f>
        <v>0</v>
      </c>
      <c r="BE12" s="788"/>
      <c r="BF12" s="789"/>
      <c r="BG12" s="790">
        <f t="shared" si="4"/>
        <v>10.473630827182427</v>
      </c>
      <c r="BH12" s="815">
        <f t="shared" si="5"/>
        <v>4.6788612138407092E-2</v>
      </c>
      <c r="BI12" s="792"/>
      <c r="BJ12" s="793">
        <v>223.85</v>
      </c>
      <c r="BK12" s="1744"/>
      <c r="BL12" s="1682"/>
      <c r="BM12" s="656" t="s">
        <v>402</v>
      </c>
      <c r="BN12" s="794">
        <f t="shared" si="6"/>
        <v>235.6931627941448</v>
      </c>
      <c r="BO12" s="1588"/>
      <c r="BP12" s="1668"/>
      <c r="BQ12" s="795"/>
      <c r="BR12" s="796"/>
      <c r="BS12" s="797"/>
      <c r="BT12" s="797"/>
      <c r="BU12" s="797"/>
      <c r="BV12" s="718"/>
      <c r="BX12" s="795">
        <f t="shared" si="7"/>
        <v>235.6931627941448</v>
      </c>
      <c r="BY12" s="795">
        <f t="shared" si="8"/>
        <v>-11.843162794144803</v>
      </c>
      <c r="BZ12" s="797"/>
      <c r="CA12" s="798">
        <f t="shared" si="11"/>
        <v>0</v>
      </c>
    </row>
    <row r="13" spans="1:79" s="1801" customFormat="1" ht="27.75" thickBot="1">
      <c r="A13" s="1827" t="s">
        <v>402</v>
      </c>
      <c r="B13" s="1828">
        <f>BJ13*D13/BL13</f>
        <v>3175.8554508000029</v>
      </c>
      <c r="C13" s="1858">
        <f>+B13/T13</f>
        <v>0.13144058885383819</v>
      </c>
      <c r="D13" s="1829">
        <f>$BL$13-0.95</f>
        <v>5.0000000000000044E-2</v>
      </c>
      <c r="E13" s="1830"/>
      <c r="F13" s="1829"/>
      <c r="G13" s="1830">
        <f t="shared" si="10"/>
        <v>3175.8554508000029</v>
      </c>
      <c r="H13" s="1831"/>
      <c r="I13" s="1832">
        <f>F13+D13</f>
        <v>5.0000000000000044E-2</v>
      </c>
      <c r="J13" s="1833"/>
      <c r="K13" s="1834">
        <f>BJ13*M13/BL13</f>
        <v>4446.1976311199969</v>
      </c>
      <c r="L13" s="1854">
        <f t="shared" si="0"/>
        <v>0.18401682439537317</v>
      </c>
      <c r="M13" s="1836">
        <f>$BL$13-0.93</f>
        <v>6.9999999999999951E-2</v>
      </c>
      <c r="N13" s="1837">
        <f>BJ13*P13/BL13</f>
        <v>16539.855187766399</v>
      </c>
      <c r="O13" s="1835">
        <f t="shared" si="1"/>
        <v>0.68454258675078861</v>
      </c>
      <c r="P13" s="1838">
        <f>$BL$13-0.7396</f>
        <v>0.26039999999999996</v>
      </c>
      <c r="Q13" s="1839"/>
      <c r="R13" s="1846"/>
      <c r="S13" s="1841"/>
      <c r="T13" s="1834">
        <f t="shared" si="9"/>
        <v>24161.908269686399</v>
      </c>
      <c r="U13" s="1856">
        <f t="shared" si="2"/>
        <v>0.38039999999999996</v>
      </c>
      <c r="V13" s="1842"/>
      <c r="W13" s="1879"/>
      <c r="X13" s="656" t="s">
        <v>402</v>
      </c>
      <c r="Y13" s="1839">
        <f>BJ13*AA13/BL13</f>
        <v>36608.994076030533</v>
      </c>
      <c r="Z13" s="1843">
        <f t="shared" si="3"/>
        <v>0.99139954070107161</v>
      </c>
      <c r="AA13" s="1844">
        <f>$BL$13-0.4236357</f>
        <v>0.57636430000000005</v>
      </c>
      <c r="AB13" s="1845">
        <f>BJ13*AD13/$BL13</f>
        <v>317.58554508000032</v>
      </c>
      <c r="AC13" s="1840">
        <f t="shared" si="12"/>
        <v>8.6004592989284076E-3</v>
      </c>
      <c r="AD13" s="1846">
        <f>$BL$13-0.995</f>
        <v>5.0000000000000044E-3</v>
      </c>
      <c r="AE13" s="1840">
        <f>BJ13*$AG13/$BL13</f>
        <v>0</v>
      </c>
      <c r="AF13" s="1846">
        <f>AG13/BL13</f>
        <v>0</v>
      </c>
      <c r="AG13" s="1847">
        <v>0</v>
      </c>
      <c r="AH13" s="1848">
        <f>BJ13*$AJ13/$BL13</f>
        <v>0</v>
      </c>
      <c r="AI13" s="1849"/>
      <c r="AJ13" s="1849"/>
      <c r="AK13" s="1859"/>
      <c r="AL13" s="1860"/>
      <c r="AM13" s="1861"/>
      <c r="AN13" s="1840">
        <f>BJ13*$AP13/$BL13</f>
        <v>0</v>
      </c>
      <c r="AO13" s="1862"/>
      <c r="AP13" s="1863"/>
      <c r="AQ13" s="1840">
        <f t="shared" si="13"/>
        <v>36926.579621110533</v>
      </c>
      <c r="AR13" s="1842">
        <f>AA13+AD13+AG13+AJ13+AM13</f>
        <v>0.58136430000000006</v>
      </c>
      <c r="AS13" s="1914"/>
      <c r="AT13" s="1787"/>
      <c r="AU13" s="1850">
        <f>BJ13*AV13/BL13</f>
        <v>2159.5817065440019</v>
      </c>
      <c r="AV13" s="1847">
        <f>$BL$13-0.966</f>
        <v>3.400000000000003E-2</v>
      </c>
      <c r="AW13" s="1859"/>
      <c r="AX13" s="1861"/>
      <c r="AY13" s="1861"/>
      <c r="AZ13" s="1861"/>
      <c r="BA13" s="1840">
        <f>BJ13*BC13/BL13</f>
        <v>269.0394186590712</v>
      </c>
      <c r="BB13" s="1843">
        <f>+BA13/BG13</f>
        <v>0.11077867019565477</v>
      </c>
      <c r="BC13" s="1847">
        <v>4.2357000000000002E-3</v>
      </c>
      <c r="BD13" s="1840">
        <f>BJ13*BE11</f>
        <v>0</v>
      </c>
      <c r="BE13" s="1843"/>
      <c r="BF13" s="1847"/>
      <c r="BG13" s="1851">
        <f t="shared" si="4"/>
        <v>2428.621125203073</v>
      </c>
      <c r="BH13" s="1857">
        <f t="shared" si="5"/>
        <v>3.8235700000000025E-2</v>
      </c>
      <c r="BI13" s="1852">
        <f>AV13+AZ13+BC13+BF13</f>
        <v>3.8235700000000032E-2</v>
      </c>
      <c r="BJ13" s="1853">
        <f>'[1]Nelle mise en page'!$C$37</f>
        <v>63517.109016000002</v>
      </c>
      <c r="BK13" s="1864" t="e">
        <f>BH13+#REF!+U13</f>
        <v>#REF!</v>
      </c>
      <c r="BL13" s="1865">
        <v>1</v>
      </c>
      <c r="BM13" s="656" t="s">
        <v>402</v>
      </c>
      <c r="BN13" s="1796">
        <f t="shared" si="6"/>
        <v>63517.109016000002</v>
      </c>
      <c r="BO13" s="1797">
        <f>BL13-BP13</f>
        <v>0</v>
      </c>
      <c r="BP13" s="1798">
        <f>D13+M13+P13+S13+AA13+AD13+AG13+AJ13+AV13+BC13+BF13</f>
        <v>1</v>
      </c>
      <c r="BQ13" s="1866"/>
      <c r="BR13" s="1867"/>
      <c r="BS13" s="1868"/>
      <c r="BT13" s="1868"/>
      <c r="BU13" s="1868"/>
      <c r="BV13" s="1855"/>
      <c r="BW13" s="1803"/>
      <c r="BX13" s="1799">
        <f t="shared" si="7"/>
        <v>63517.109016000002</v>
      </c>
      <c r="BY13" s="1799">
        <f t="shared" ref="BY13:BY15" si="14">BJ13-BX13</f>
        <v>0</v>
      </c>
      <c r="BZ13" s="1868"/>
      <c r="CA13" s="1804">
        <f t="shared" si="11"/>
        <v>0</v>
      </c>
    </row>
    <row r="14" spans="1:79" ht="27.75" thickBot="1">
      <c r="A14" s="704"/>
      <c r="B14" s="705">
        <f>BJ14*D13</f>
        <v>145.81779361366625</v>
      </c>
      <c r="C14" s="1815">
        <f>+B14/T14</f>
        <v>0.13144058885383819</v>
      </c>
      <c r="D14" s="707"/>
      <c r="E14" s="708"/>
      <c r="F14" s="707"/>
      <c r="G14" s="708">
        <f t="shared" si="10"/>
        <v>145.81779361366625</v>
      </c>
      <c r="H14" s="709"/>
      <c r="I14" s="710"/>
      <c r="J14" s="1707"/>
      <c r="K14" s="711">
        <f>BJ14*M13</f>
        <v>204.14491105913243</v>
      </c>
      <c r="L14" s="1818">
        <f t="shared" si="0"/>
        <v>0.18401682439537317</v>
      </c>
      <c r="M14" s="1633"/>
      <c r="N14" s="713">
        <f>BJ14*P13</f>
        <v>759.41906913997309</v>
      </c>
      <c r="O14" s="714">
        <f t="shared" si="1"/>
        <v>0.68454258675078861</v>
      </c>
      <c r="P14" s="1650"/>
      <c r="Q14" s="1514"/>
      <c r="R14" s="1549"/>
      <c r="S14" s="1516"/>
      <c r="T14" s="715">
        <f t="shared" si="9"/>
        <v>1109.3817738127718</v>
      </c>
      <c r="U14" s="716">
        <f t="shared" si="2"/>
        <v>0.38040000000000002</v>
      </c>
      <c r="V14" s="717"/>
      <c r="W14" s="1879"/>
      <c r="X14" s="718"/>
      <c r="Y14" s="719">
        <f>BJ14*AA13</f>
        <v>1680.883410873703</v>
      </c>
      <c r="Z14" s="804">
        <f t="shared" si="3"/>
        <v>0.98529747448506821</v>
      </c>
      <c r="AA14" s="1604"/>
      <c r="AB14" s="720">
        <f>BJ14*AC13</f>
        <v>25.081999980677562</v>
      </c>
      <c r="AC14" s="805">
        <f t="shared" si="12"/>
        <v>1.4702525514931753E-2</v>
      </c>
      <c r="AD14" s="722"/>
      <c r="AE14" s="723">
        <f>BJ14*AF13</f>
        <v>0</v>
      </c>
      <c r="AF14" s="806"/>
      <c r="AG14" s="725"/>
      <c r="AH14" s="726"/>
      <c r="AI14" s="728"/>
      <c r="AJ14" s="728"/>
      <c r="AK14" s="1550"/>
      <c r="AL14" s="1551"/>
      <c r="AM14" s="1552"/>
      <c r="AN14" s="732"/>
      <c r="AO14" s="1553"/>
      <c r="AP14" s="1557"/>
      <c r="AQ14" s="735">
        <f t="shared" si="13"/>
        <v>1705.9654108543807</v>
      </c>
      <c r="AR14" s="736"/>
      <c r="AS14" s="1914"/>
      <c r="AT14" s="801"/>
      <c r="AU14" s="737">
        <f>BJ14*AV13/BL13</f>
        <v>99.156099657293055</v>
      </c>
      <c r="AV14" s="738"/>
      <c r="AW14" s="1554"/>
      <c r="AX14" s="1555"/>
      <c r="AY14" s="1555"/>
      <c r="AZ14" s="1555"/>
      <c r="BA14" s="739">
        <f>BJ14*BB13</f>
        <v>323.07002534772744</v>
      </c>
      <c r="BB14" s="740">
        <f>+BA14/BG14</f>
        <v>0.76515877681393107</v>
      </c>
      <c r="BC14" s="741"/>
      <c r="BD14" s="742">
        <f>BJ14*BE13</f>
        <v>0</v>
      </c>
      <c r="BE14" s="809"/>
      <c r="BF14" s="744"/>
      <c r="BG14" s="745">
        <f t="shared" si="4"/>
        <v>422.22612500502049</v>
      </c>
      <c r="BH14" s="810">
        <f t="shared" si="5"/>
        <v>0.1447786701956548</v>
      </c>
      <c r="BI14" s="747"/>
      <c r="BJ14" s="748">
        <f>'[1]Nelle mise en page'!$C$32</f>
        <v>2916.3558722733223</v>
      </c>
      <c r="BK14" s="1745"/>
      <c r="BL14" s="1684"/>
      <c r="BM14" s="656" t="s">
        <v>402</v>
      </c>
      <c r="BN14" s="701">
        <f t="shared" si="6"/>
        <v>3237.5733096721729</v>
      </c>
      <c r="BO14" s="1587"/>
      <c r="BP14" s="1667"/>
      <c r="BQ14" s="1581"/>
      <c r="BR14" s="1556"/>
      <c r="BS14" s="1583"/>
      <c r="BT14" s="1583"/>
      <c r="BU14" s="1583"/>
      <c r="BV14" s="749"/>
      <c r="BX14" s="24">
        <f t="shared" si="7"/>
        <v>3237.5733096721729</v>
      </c>
      <c r="BY14" s="24">
        <f t="shared" si="14"/>
        <v>-321.21743739885051</v>
      </c>
      <c r="BZ14" s="1583"/>
      <c r="CA14" s="703">
        <f t="shared" si="11"/>
        <v>0</v>
      </c>
    </row>
    <row r="15" spans="1:79" ht="27.75" thickBot="1">
      <c r="A15" s="750"/>
      <c r="B15" s="751">
        <f>BJ15*D13</f>
        <v>61.292700000000053</v>
      </c>
      <c r="C15" s="1816">
        <f>+B15/T15</f>
        <v>0.13144058885383819</v>
      </c>
      <c r="D15" s="753"/>
      <c r="E15" s="754"/>
      <c r="F15" s="753"/>
      <c r="G15" s="754">
        <f t="shared" si="10"/>
        <v>61.292700000000053</v>
      </c>
      <c r="H15" s="752"/>
      <c r="I15" s="755"/>
      <c r="J15" s="1708"/>
      <c r="K15" s="756">
        <f>BJ15*M13</f>
        <v>85.809779999999947</v>
      </c>
      <c r="L15" s="1820">
        <f t="shared" si="0"/>
        <v>0.18401682439537317</v>
      </c>
      <c r="M15" s="1634"/>
      <c r="N15" s="758">
        <f>BJ15*P13</f>
        <v>319.21238159999996</v>
      </c>
      <c r="O15" s="759">
        <f t="shared" si="1"/>
        <v>0.68454258675078861</v>
      </c>
      <c r="P15" s="1651"/>
      <c r="Q15" s="1517"/>
      <c r="R15" s="1518"/>
      <c r="S15" s="1519"/>
      <c r="T15" s="760">
        <f t="shared" si="9"/>
        <v>466.31486159999997</v>
      </c>
      <c r="U15" s="761">
        <f t="shared" si="2"/>
        <v>0.38039999999999996</v>
      </c>
      <c r="V15" s="762"/>
      <c r="W15" s="1879"/>
      <c r="X15" s="763"/>
      <c r="Y15" s="764">
        <f>BJ15*AA13</f>
        <v>706.53848261220014</v>
      </c>
      <c r="Z15" s="811">
        <f t="shared" si="3"/>
        <v>0.98529747448506821</v>
      </c>
      <c r="AA15" s="1605"/>
      <c r="AB15" s="765">
        <f>BJ15*AC13</f>
        <v>10.542907433428585</v>
      </c>
      <c r="AC15" s="812">
        <f t="shared" si="12"/>
        <v>1.4702525514931753E-2</v>
      </c>
      <c r="AD15" s="766"/>
      <c r="AE15" s="767">
        <f>BJ15*AF13</f>
        <v>0</v>
      </c>
      <c r="AF15" s="813"/>
      <c r="AG15" s="769"/>
      <c r="AH15" s="770"/>
      <c r="AI15" s="772"/>
      <c r="AJ15" s="772"/>
      <c r="AK15" s="1550"/>
      <c r="AL15" s="1551"/>
      <c r="AM15" s="1552"/>
      <c r="AN15" s="776"/>
      <c r="AO15" s="1553"/>
      <c r="AP15" s="1557"/>
      <c r="AQ15" s="779">
        <f t="shared" si="13"/>
        <v>717.08139004562872</v>
      </c>
      <c r="AR15" s="780"/>
      <c r="AS15" s="1914"/>
      <c r="AT15" s="801"/>
      <c r="AU15" s="781">
        <f>BJ15*AV13/BL13</f>
        <v>41.679036000000039</v>
      </c>
      <c r="AV15" s="783"/>
      <c r="AW15" s="1554"/>
      <c r="AX15" s="1555"/>
      <c r="AY15" s="1555"/>
      <c r="AZ15" s="1555"/>
      <c r="BA15" s="784">
        <f>BJ15*BB13</f>
        <v>135.79847597402417</v>
      </c>
      <c r="BB15" s="785">
        <f>+BA15/BG15</f>
        <v>0.76515877681393119</v>
      </c>
      <c r="BC15" s="786"/>
      <c r="BD15" s="787">
        <f>BJ15*BE13</f>
        <v>0</v>
      </c>
      <c r="BE15" s="788"/>
      <c r="BF15" s="789"/>
      <c r="BG15" s="790">
        <f t="shared" si="4"/>
        <v>177.4775119740242</v>
      </c>
      <c r="BH15" s="815">
        <f t="shared" si="5"/>
        <v>0.14477867019565477</v>
      </c>
      <c r="BI15" s="792"/>
      <c r="BJ15" s="793">
        <f>'[1]Nelle mise en page'!$C$29</f>
        <v>1225.854</v>
      </c>
      <c r="BK15" s="1745"/>
      <c r="BL15" s="1684"/>
      <c r="BM15" s="656" t="s">
        <v>402</v>
      </c>
      <c r="BN15" s="794">
        <f t="shared" si="6"/>
        <v>1360.8737636196529</v>
      </c>
      <c r="BO15" s="1588"/>
      <c r="BP15" s="1667"/>
      <c r="BQ15" s="1581"/>
      <c r="BR15" s="1556"/>
      <c r="BS15" s="1583"/>
      <c r="BT15" s="1583"/>
      <c r="BU15" s="1583"/>
      <c r="BV15" s="749"/>
      <c r="BX15" s="795">
        <f t="shared" si="7"/>
        <v>1360.8737636196529</v>
      </c>
      <c r="BY15" s="795">
        <f t="shared" si="14"/>
        <v>-135.01976361965285</v>
      </c>
      <c r="BZ15" s="1583"/>
      <c r="CA15" s="798">
        <f t="shared" si="11"/>
        <v>0</v>
      </c>
    </row>
    <row r="16" spans="1:79" ht="27.75" thickBot="1">
      <c r="A16" s="656" t="s">
        <v>402</v>
      </c>
      <c r="B16" s="657"/>
      <c r="C16" s="658"/>
      <c r="D16" s="659"/>
      <c r="E16" s="660"/>
      <c r="F16" s="659"/>
      <c r="G16" s="660"/>
      <c r="H16" s="658"/>
      <c r="I16" s="661"/>
      <c r="J16" s="1706"/>
      <c r="K16" s="662">
        <f>BJ16*M16/BL16</f>
        <v>0</v>
      </c>
      <c r="L16" s="663"/>
      <c r="M16" s="1632">
        <f>0/BL16</f>
        <v>0</v>
      </c>
      <c r="N16" s="664">
        <f>BJ16*$P16/$BL16</f>
        <v>10057.732985408</v>
      </c>
      <c r="O16" s="665">
        <f t="shared" si="1"/>
        <v>1</v>
      </c>
      <c r="P16" s="1649">
        <f>0.23/BL16</f>
        <v>0.23</v>
      </c>
      <c r="Q16" s="1511"/>
      <c r="R16" s="1512"/>
      <c r="S16" s="1513"/>
      <c r="T16" s="666">
        <f t="shared" si="9"/>
        <v>10057.732985408</v>
      </c>
      <c r="U16" s="667">
        <f t="shared" si="2"/>
        <v>0.23000000000000004</v>
      </c>
      <c r="V16" s="668"/>
      <c r="W16" s="1879"/>
      <c r="X16" s="656" t="s">
        <v>402</v>
      </c>
      <c r="Y16" s="670">
        <f>BJ16*$AA16/$BL16</f>
        <v>33671.540864192</v>
      </c>
      <c r="Z16" s="672">
        <f t="shared" si="3"/>
        <v>1</v>
      </c>
      <c r="AA16" s="1603">
        <f>0.77/BL16</f>
        <v>0.77</v>
      </c>
      <c r="AB16" s="673"/>
      <c r="AC16" s="816"/>
      <c r="AD16" s="674"/>
      <c r="AE16" s="675"/>
      <c r="AF16" s="817"/>
      <c r="AG16" s="676"/>
      <c r="AH16" s="677">
        <f>BJ16*$AJ16/$BL16</f>
        <v>0</v>
      </c>
      <c r="AI16" s="818">
        <f>AH132</f>
        <v>0</v>
      </c>
      <c r="AJ16" s="679"/>
      <c r="AK16" s="680">
        <f>BJ16*$AM16/$BL16</f>
        <v>0</v>
      </c>
      <c r="AL16" s="681">
        <v>5.3999999999999999E-2</v>
      </c>
      <c r="AM16" s="682"/>
      <c r="AN16" s="683">
        <f>BJ16*$AP16/$BL16</f>
        <v>0</v>
      </c>
      <c r="AO16" s="819"/>
      <c r="AP16" s="685"/>
      <c r="AQ16" s="686">
        <f t="shared" si="13"/>
        <v>33671.540864192</v>
      </c>
      <c r="AR16" s="687">
        <f>AA16+AD16+AG16+AJ16+AM16</f>
        <v>0.77</v>
      </c>
      <c r="AS16" s="1914"/>
      <c r="AT16" s="801" t="str">
        <f>BM16</f>
        <v>XX</v>
      </c>
      <c r="AU16" s="689"/>
      <c r="AV16" s="802"/>
      <c r="AW16" s="691"/>
      <c r="AX16" s="820"/>
      <c r="AY16" s="693"/>
      <c r="AZ16" s="693"/>
      <c r="BA16" s="691"/>
      <c r="BB16" s="821"/>
      <c r="BC16" s="693"/>
      <c r="BD16" s="694"/>
      <c r="BE16" s="822">
        <f>BD7+BD10+BD22+BD58</f>
        <v>0</v>
      </c>
      <c r="BF16" s="696"/>
      <c r="BG16" s="697"/>
      <c r="BH16" s="803"/>
      <c r="BI16" s="699"/>
      <c r="BJ16" s="700">
        <f>'[1]Nelle mise en page'!$E$37</f>
        <v>43729.273849599995</v>
      </c>
      <c r="BK16" s="1742" t="e">
        <f>BH16+#REF!+U16</f>
        <v>#REF!</v>
      </c>
      <c r="BL16" s="1680">
        <v>1</v>
      </c>
      <c r="BM16" s="656" t="s">
        <v>402</v>
      </c>
      <c r="BN16" s="701">
        <f t="shared" si="6"/>
        <v>43729.273849600002</v>
      </c>
      <c r="BO16" s="1587"/>
      <c r="BP16" s="1667">
        <f>D16+M16+P16+S16+AA16+AD16+AG16+AJ16+AV16+BC16+BF16</f>
        <v>1</v>
      </c>
      <c r="BQ16" s="24">
        <f>BD16+BA16+AW16+AU16+AN16+AK16+AH16+AE16+AB16+Y16+Q16+N16+K16+G16</f>
        <v>43729.273849600002</v>
      </c>
      <c r="BR16" s="702">
        <f>BJ16-BQ16</f>
        <v>0</v>
      </c>
      <c r="BV16" s="749" t="s">
        <v>29</v>
      </c>
      <c r="BX16" s="24">
        <f t="shared" si="7"/>
        <v>43729.273849600002</v>
      </c>
      <c r="BY16" s="24">
        <f t="shared" si="8"/>
        <v>0</v>
      </c>
      <c r="CA16" s="703">
        <f t="shared" si="11"/>
        <v>0</v>
      </c>
    </row>
    <row r="17" spans="1:79" ht="27.75" thickBot="1">
      <c r="A17" s="704"/>
      <c r="B17" s="705"/>
      <c r="C17" s="706"/>
      <c r="D17" s="707"/>
      <c r="E17" s="708"/>
      <c r="F17" s="707"/>
      <c r="G17" s="708"/>
      <c r="H17" s="709"/>
      <c r="I17" s="710"/>
      <c r="J17" s="1707"/>
      <c r="K17" s="711">
        <f>BJ17*L16</f>
        <v>0</v>
      </c>
      <c r="L17" s="712"/>
      <c r="M17" s="1633"/>
      <c r="N17" s="713">
        <f>BJ17*P16</f>
        <v>375.56758900431237</v>
      </c>
      <c r="O17" s="714">
        <f t="shared" si="1"/>
        <v>1</v>
      </c>
      <c r="P17" s="1650"/>
      <c r="Q17" s="1514"/>
      <c r="R17" s="1515"/>
      <c r="S17" s="1516"/>
      <c r="T17" s="715">
        <f t="shared" si="9"/>
        <v>375.56758900431237</v>
      </c>
      <c r="U17" s="716">
        <f t="shared" si="2"/>
        <v>0.23</v>
      </c>
      <c r="V17" s="717"/>
      <c r="W17" s="1879"/>
      <c r="X17" s="718"/>
      <c r="Y17" s="719">
        <f>BJ17*Z16</f>
        <v>1632.9025608883146</v>
      </c>
      <c r="Z17" s="823">
        <f t="shared" si="3"/>
        <v>1</v>
      </c>
      <c r="AA17" s="1604"/>
      <c r="AB17" s="720"/>
      <c r="AC17" s="805"/>
      <c r="AD17" s="722"/>
      <c r="AE17" s="723"/>
      <c r="AF17" s="824"/>
      <c r="AG17" s="725"/>
      <c r="AH17" s="726"/>
      <c r="AI17" s="825"/>
      <c r="AJ17" s="728"/>
      <c r="AK17" s="729"/>
      <c r="AL17" s="730"/>
      <c r="AM17" s="731"/>
      <c r="AN17" s="732"/>
      <c r="AO17" s="826"/>
      <c r="AP17" s="734"/>
      <c r="AQ17" s="735">
        <f t="shared" si="13"/>
        <v>1632.9025608883146</v>
      </c>
      <c r="AR17" s="736"/>
      <c r="AS17" s="1914"/>
      <c r="AT17" s="801"/>
      <c r="AU17" s="737"/>
      <c r="AV17" s="808"/>
      <c r="AW17" s="739"/>
      <c r="AX17" s="827"/>
      <c r="AY17" s="741"/>
      <c r="AZ17" s="741"/>
      <c r="BA17" s="739"/>
      <c r="BB17" s="828"/>
      <c r="BC17" s="741"/>
      <c r="BD17" s="742"/>
      <c r="BE17" s="829">
        <f>BD8+BD9+BD11+BD12+BD23+BD24+BD59+BD60</f>
        <v>0</v>
      </c>
      <c r="BF17" s="744"/>
      <c r="BG17" s="745"/>
      <c r="BH17" s="810"/>
      <c r="BI17" s="747"/>
      <c r="BJ17" s="748">
        <f>'[1]Nelle mise en page'!$E$32</f>
        <v>1632.9025608883146</v>
      </c>
      <c r="BK17" s="1743"/>
      <c r="BL17" s="1681"/>
      <c r="BM17" s="656" t="s">
        <v>402</v>
      </c>
      <c r="BN17" s="701">
        <f t="shared" si="6"/>
        <v>2008.470149892627</v>
      </c>
      <c r="BO17" s="1587"/>
      <c r="BP17" s="1667"/>
      <c r="BQ17" s="24"/>
      <c r="BR17" s="702"/>
      <c r="BV17" s="718"/>
      <c r="BX17" s="24">
        <f t="shared" si="7"/>
        <v>2008.470149892627</v>
      </c>
      <c r="BY17" s="24">
        <f t="shared" si="8"/>
        <v>-375.56758900431237</v>
      </c>
      <c r="CA17" s="703">
        <f t="shared" si="11"/>
        <v>0</v>
      </c>
    </row>
    <row r="18" spans="1:79" ht="27.75" thickBot="1">
      <c r="A18" s="750"/>
      <c r="B18" s="751"/>
      <c r="C18" s="752"/>
      <c r="D18" s="753"/>
      <c r="E18" s="754"/>
      <c r="F18" s="753"/>
      <c r="G18" s="754"/>
      <c r="H18" s="752"/>
      <c r="I18" s="755"/>
      <c r="J18" s="1708"/>
      <c r="K18" s="756">
        <f>BJ18*L16</f>
        <v>0</v>
      </c>
      <c r="L18" s="757"/>
      <c r="M18" s="1634"/>
      <c r="N18" s="758">
        <f>BJ18*P16</f>
        <v>191.762316</v>
      </c>
      <c r="O18" s="759">
        <f t="shared" si="1"/>
        <v>1</v>
      </c>
      <c r="P18" s="1651"/>
      <c r="Q18" s="1517"/>
      <c r="R18" s="1518"/>
      <c r="S18" s="1519"/>
      <c r="T18" s="760">
        <f t="shared" si="9"/>
        <v>191.762316</v>
      </c>
      <c r="U18" s="761">
        <f t="shared" si="2"/>
        <v>0.23</v>
      </c>
      <c r="V18" s="762"/>
      <c r="W18" s="1879"/>
      <c r="X18" s="763"/>
      <c r="Y18" s="764">
        <f>BJ18*Z16</f>
        <v>833.74919999999997</v>
      </c>
      <c r="Z18" s="830">
        <f t="shared" si="3"/>
        <v>1</v>
      </c>
      <c r="AA18" s="1605"/>
      <c r="AB18" s="765"/>
      <c r="AC18" s="812"/>
      <c r="AD18" s="766"/>
      <c r="AE18" s="767"/>
      <c r="AF18" s="831"/>
      <c r="AG18" s="769"/>
      <c r="AH18" s="770"/>
      <c r="AI18" s="832"/>
      <c r="AJ18" s="772"/>
      <c r="AK18" s="773"/>
      <c r="AL18" s="774"/>
      <c r="AM18" s="775"/>
      <c r="AN18" s="776"/>
      <c r="AO18" s="833"/>
      <c r="AP18" s="778"/>
      <c r="AQ18" s="779">
        <f t="shared" si="13"/>
        <v>833.74919999999997</v>
      </c>
      <c r="AR18" s="780"/>
      <c r="AS18" s="1914"/>
      <c r="AT18" s="801"/>
      <c r="AU18" s="781"/>
      <c r="AV18" s="782"/>
      <c r="AW18" s="784"/>
      <c r="AX18" s="834"/>
      <c r="AY18" s="786"/>
      <c r="AZ18" s="786"/>
      <c r="BA18" s="784"/>
      <c r="BB18" s="835"/>
      <c r="BC18" s="786"/>
      <c r="BD18" s="787"/>
      <c r="BE18" s="836">
        <f>BD61</f>
        <v>0</v>
      </c>
      <c r="BF18" s="789"/>
      <c r="BG18" s="790"/>
      <c r="BH18" s="815"/>
      <c r="BI18" s="792"/>
      <c r="BJ18" s="793">
        <f>'[1]Nelle mise en page'!$E$29</f>
        <v>833.74919999999997</v>
      </c>
      <c r="BK18" s="1744"/>
      <c r="BL18" s="1682"/>
      <c r="BM18" s="656" t="s">
        <v>402</v>
      </c>
      <c r="BN18" s="794">
        <f t="shared" si="6"/>
        <v>1025.511516</v>
      </c>
      <c r="BO18" s="1588"/>
      <c r="BP18" s="1668"/>
      <c r="BQ18" s="795"/>
      <c r="BR18" s="796"/>
      <c r="BS18" s="797"/>
      <c r="BT18" s="797"/>
      <c r="BU18" s="797"/>
      <c r="BV18" s="718"/>
      <c r="BX18" s="795">
        <f t="shared" si="7"/>
        <v>1025.511516</v>
      </c>
      <c r="BY18" s="795">
        <f t="shared" si="8"/>
        <v>-191.76231600000006</v>
      </c>
      <c r="BZ18" s="797"/>
      <c r="CA18" s="798">
        <f t="shared" si="11"/>
        <v>0</v>
      </c>
    </row>
    <row r="19" spans="1:79" s="841" customFormat="1" ht="27.75" thickBot="1">
      <c r="A19" s="656" t="s">
        <v>402</v>
      </c>
      <c r="B19" s="657"/>
      <c r="C19" s="658"/>
      <c r="D19" s="659"/>
      <c r="E19" s="660"/>
      <c r="F19" s="659"/>
      <c r="G19" s="660"/>
      <c r="H19" s="658"/>
      <c r="I19" s="661"/>
      <c r="J19" s="1706"/>
      <c r="K19" s="662">
        <f>BJ19*$M19/$BL19</f>
        <v>0</v>
      </c>
      <c r="L19" s="663"/>
      <c r="M19" s="1632">
        <v>0</v>
      </c>
      <c r="N19" s="664">
        <f>BJ19*$P19/$BL19</f>
        <v>0</v>
      </c>
      <c r="O19" s="665">
        <f>P19/BL19</f>
        <v>0</v>
      </c>
      <c r="P19" s="1649">
        <v>0</v>
      </c>
      <c r="Q19" s="1511">
        <f>BJ19*$S19/$BL19</f>
        <v>29274.346270191152</v>
      </c>
      <c r="R19" s="1741">
        <f>+Q19/T19</f>
        <v>1</v>
      </c>
      <c r="S19" s="1513">
        <f>0.4159984+0.237801/BL19</f>
        <v>0.65379940000000003</v>
      </c>
      <c r="T19" s="666">
        <f t="shared" si="9"/>
        <v>29274.346270191152</v>
      </c>
      <c r="U19" s="667">
        <f t="shared" si="2"/>
        <v>0.65379940000000003</v>
      </c>
      <c r="V19" s="668"/>
      <c r="W19" s="1879"/>
      <c r="X19" s="656" t="s">
        <v>402</v>
      </c>
      <c r="Y19" s="670">
        <f>BJ19*$AA19/$BL19</f>
        <v>13262.598481794845</v>
      </c>
      <c r="Z19" s="671">
        <f t="shared" si="3"/>
        <v>0.85557506255044047</v>
      </c>
      <c r="AA19" s="1603">
        <f>0.2962006/BL19</f>
        <v>0.29620059999999998</v>
      </c>
      <c r="AB19" s="673"/>
      <c r="AC19" s="816"/>
      <c r="AD19" s="837"/>
      <c r="AE19" s="675">
        <f>BJ19*$AG19/$BL19</f>
        <v>2238.786565894</v>
      </c>
      <c r="AF19" s="838">
        <f>+AE19/AQ19</f>
        <v>0.14442493744955961</v>
      </c>
      <c r="AG19" s="676">
        <v>0.05</v>
      </c>
      <c r="AH19" s="677"/>
      <c r="AI19" s="839"/>
      <c r="AJ19" s="679"/>
      <c r="AK19" s="680">
        <f>BJ19*$AM19/$BL19</f>
        <v>0</v>
      </c>
      <c r="AL19" s="681">
        <v>5.3999999999999999E-2</v>
      </c>
      <c r="AM19" s="682"/>
      <c r="AN19" s="683">
        <f>BJ19*$AP19/$BL19</f>
        <v>0</v>
      </c>
      <c r="AO19" s="819"/>
      <c r="AP19" s="685"/>
      <c r="AQ19" s="686">
        <f t="shared" si="13"/>
        <v>15501.385047688844</v>
      </c>
      <c r="AR19" s="687">
        <f>AA19+AD19+AG19+AJ19+AM19</f>
        <v>0.34620059999999997</v>
      </c>
      <c r="AS19" s="1914"/>
      <c r="AT19" s="801" t="str">
        <f>BM19</f>
        <v>XX</v>
      </c>
      <c r="AU19" s="689"/>
      <c r="AV19" s="802"/>
      <c r="AW19" s="691"/>
      <c r="AX19" s="840"/>
      <c r="AY19" s="693"/>
      <c r="AZ19" s="693"/>
      <c r="BA19" s="691"/>
      <c r="BB19" s="692"/>
      <c r="BC19" s="693"/>
      <c r="BD19" s="694">
        <f>BJ19*BF19/BL19</f>
        <v>0</v>
      </c>
      <c r="BE19" s="695">
        <f>BF19/BL19</f>
        <v>0</v>
      </c>
      <c r="BF19" s="696">
        <v>0</v>
      </c>
      <c r="BG19" s="697">
        <f>BD19+BA19+AW19+AU19</f>
        <v>0</v>
      </c>
      <c r="BH19" s="803"/>
      <c r="BI19" s="699">
        <f>BF19+BC19+AY19+AV19</f>
        <v>0</v>
      </c>
      <c r="BJ19" s="700">
        <f>'[1]Nelle mise en page'!$M$37</f>
        <v>44775.731317879996</v>
      </c>
      <c r="BK19" s="1742" t="e">
        <f>BH19+#REF!+U19</f>
        <v>#REF!</v>
      </c>
      <c r="BL19" s="1680">
        <v>1</v>
      </c>
      <c r="BM19" s="656" t="s">
        <v>402</v>
      </c>
      <c r="BN19" s="701">
        <f t="shared" si="6"/>
        <v>44775.731317879996</v>
      </c>
      <c r="BO19" s="1587">
        <f>BL19-BP19</f>
        <v>0</v>
      </c>
      <c r="BP19" s="1667">
        <f>D19+M19+P19+S19+AA19+AD19+AG19+AJ19+AV19+BC19+BF19</f>
        <v>1</v>
      </c>
      <c r="BQ19" s="24">
        <f>BD19+BA19+AW19+AU19+AN19+AK19+AH19+AE19+AB19+Y19+Q19+N19+K19+G19</f>
        <v>44775.731317879996</v>
      </c>
      <c r="BR19" s="702">
        <f>BJ19-BQ19</f>
        <v>0</v>
      </c>
      <c r="BV19" s="749" t="s">
        <v>30</v>
      </c>
      <c r="BX19" s="24">
        <f t="shared" si="7"/>
        <v>44775.731317879996</v>
      </c>
      <c r="BY19" s="24">
        <f t="shared" si="8"/>
        <v>0</v>
      </c>
      <c r="BZ19" s="15"/>
      <c r="CA19" s="703">
        <f t="shared" si="11"/>
        <v>0</v>
      </c>
    </row>
    <row r="20" spans="1:79" s="841" customFormat="1" ht="27.75" thickBot="1">
      <c r="A20" s="704"/>
      <c r="B20" s="705"/>
      <c r="C20" s="706"/>
      <c r="D20" s="707"/>
      <c r="E20" s="708"/>
      <c r="F20" s="707"/>
      <c r="G20" s="708"/>
      <c r="H20" s="709"/>
      <c r="I20" s="710"/>
      <c r="J20" s="1707"/>
      <c r="K20" s="711">
        <f>BJ20*L19</f>
        <v>0</v>
      </c>
      <c r="L20" s="712"/>
      <c r="M20" s="1633"/>
      <c r="N20" s="713">
        <f>BJ20*O19</f>
        <v>0</v>
      </c>
      <c r="O20" s="714"/>
      <c r="P20" s="1650"/>
      <c r="Q20" s="1514">
        <f>BJ20*S19</f>
        <v>1090.5646544696724</v>
      </c>
      <c r="R20" s="1515">
        <f>+Q20/T20</f>
        <v>1</v>
      </c>
      <c r="S20" s="1516"/>
      <c r="T20" s="715">
        <f t="shared" si="9"/>
        <v>1090.5646544696724</v>
      </c>
      <c r="U20" s="716">
        <f t="shared" si="2"/>
        <v>0.65379940000000003</v>
      </c>
      <c r="V20" s="717"/>
      <c r="W20" s="1879"/>
      <c r="X20" s="718"/>
      <c r="Y20" s="719">
        <f>BJ20*Z19</f>
        <v>1427.134871128957</v>
      </c>
      <c r="Z20" s="1808">
        <f t="shared" si="3"/>
        <v>0.85557506255044036</v>
      </c>
      <c r="AA20" s="1604"/>
      <c r="AB20" s="720"/>
      <c r="AC20" s="805"/>
      <c r="AD20" s="843"/>
      <c r="AE20" s="723">
        <f>BJ20*AF19</f>
        <v>240.9068163820325</v>
      </c>
      <c r="AF20" s="844">
        <f>+AE20/AQ20</f>
        <v>0.14442493744955961</v>
      </c>
      <c r="AG20" s="725"/>
      <c r="AH20" s="726"/>
      <c r="AI20" s="845"/>
      <c r="AJ20" s="728"/>
      <c r="AK20" s="729"/>
      <c r="AL20" s="730"/>
      <c r="AM20" s="731"/>
      <c r="AN20" s="732"/>
      <c r="AO20" s="826"/>
      <c r="AP20" s="734"/>
      <c r="AQ20" s="735">
        <f t="shared" si="13"/>
        <v>1668.0416875109895</v>
      </c>
      <c r="AR20" s="736"/>
      <c r="AS20" s="1914"/>
      <c r="AT20" s="801"/>
      <c r="AU20" s="737"/>
      <c r="AV20" s="808"/>
      <c r="AW20" s="739"/>
      <c r="AX20" s="846"/>
      <c r="AY20" s="741"/>
      <c r="AZ20" s="741"/>
      <c r="BA20" s="739"/>
      <c r="BB20" s="740"/>
      <c r="BC20" s="741"/>
      <c r="BD20" s="742">
        <f>BJ20*BE19</f>
        <v>0</v>
      </c>
      <c r="BE20" s="809"/>
      <c r="BF20" s="744"/>
      <c r="BG20" s="745">
        <f>BD20+BA20+AW20+AU20</f>
        <v>0</v>
      </c>
      <c r="BH20" s="810"/>
      <c r="BI20" s="747"/>
      <c r="BJ20" s="748">
        <f>'[1]Nelle mise en page'!$M$32</f>
        <v>1668.0416875109893</v>
      </c>
      <c r="BK20" s="1743"/>
      <c r="BL20" s="1681"/>
      <c r="BM20" s="656" t="s">
        <v>402</v>
      </c>
      <c r="BN20" s="701">
        <f t="shared" si="6"/>
        <v>2758.6063419806619</v>
      </c>
      <c r="BO20" s="1587"/>
      <c r="BP20" s="1667"/>
      <c r="BQ20" s="24"/>
      <c r="BR20" s="702"/>
      <c r="BV20" s="718"/>
      <c r="BX20" s="24">
        <f t="shared" si="7"/>
        <v>2758.6063419806619</v>
      </c>
      <c r="BY20" s="24">
        <f t="shared" si="8"/>
        <v>-1090.5646544696726</v>
      </c>
      <c r="BZ20" s="15"/>
      <c r="CA20" s="703">
        <f t="shared" si="11"/>
        <v>0</v>
      </c>
    </row>
    <row r="21" spans="1:79" s="841" customFormat="1" ht="27.75" thickBot="1">
      <c r="A21" s="750"/>
      <c r="B21" s="751"/>
      <c r="C21" s="752"/>
      <c r="D21" s="753"/>
      <c r="E21" s="754"/>
      <c r="F21" s="753"/>
      <c r="G21" s="754"/>
      <c r="H21" s="752"/>
      <c r="I21" s="755"/>
      <c r="J21" s="1708"/>
      <c r="K21" s="756">
        <f>BJ21*L19</f>
        <v>0</v>
      </c>
      <c r="L21" s="757"/>
      <c r="M21" s="1634"/>
      <c r="N21" s="758">
        <f>BJ21*O19</f>
        <v>0</v>
      </c>
      <c r="O21" s="759"/>
      <c r="P21" s="1651"/>
      <c r="Q21" s="1517">
        <f>BJ21*S19</f>
        <v>560.30148305222394</v>
      </c>
      <c r="R21" s="1518">
        <f>+Q21/T21</f>
        <v>1</v>
      </c>
      <c r="S21" s="1519"/>
      <c r="T21" s="760">
        <f t="shared" si="9"/>
        <v>560.30148305222394</v>
      </c>
      <c r="U21" s="761">
        <f t="shared" si="2"/>
        <v>0.65379940000000003</v>
      </c>
      <c r="V21" s="762"/>
      <c r="W21" s="1879"/>
      <c r="X21" s="763"/>
      <c r="Y21" s="764">
        <f>BJ21*Z19</f>
        <v>733.22180535728705</v>
      </c>
      <c r="Z21" s="1809">
        <f t="shared" si="3"/>
        <v>0.85557506255044036</v>
      </c>
      <c r="AA21" s="1605"/>
      <c r="AB21" s="765"/>
      <c r="AC21" s="812"/>
      <c r="AD21" s="848"/>
      <c r="AE21" s="767">
        <f>BJ21*AF19</f>
        <v>123.77115464271293</v>
      </c>
      <c r="AF21" s="849">
        <f>+AE21/AQ21</f>
        <v>0.14442493744955959</v>
      </c>
      <c r="AG21" s="769"/>
      <c r="AH21" s="770"/>
      <c r="AI21" s="850"/>
      <c r="AJ21" s="772"/>
      <c r="AK21" s="773"/>
      <c r="AL21" s="774"/>
      <c r="AM21" s="775"/>
      <c r="AN21" s="776"/>
      <c r="AO21" s="833"/>
      <c r="AP21" s="778"/>
      <c r="AQ21" s="779">
        <f t="shared" si="13"/>
        <v>856.99296000000004</v>
      </c>
      <c r="AR21" s="780"/>
      <c r="AS21" s="1914"/>
      <c r="AT21" s="801"/>
      <c r="AU21" s="781"/>
      <c r="AV21" s="782"/>
      <c r="AW21" s="784"/>
      <c r="AX21" s="851"/>
      <c r="AY21" s="786"/>
      <c r="AZ21" s="786"/>
      <c r="BA21" s="784"/>
      <c r="BB21" s="785"/>
      <c r="BC21" s="786"/>
      <c r="BD21" s="787">
        <f>BJ21*BE19</f>
        <v>0</v>
      </c>
      <c r="BE21" s="788"/>
      <c r="BF21" s="789"/>
      <c r="BG21" s="790">
        <f>BD21+BA21+AW21+AU21</f>
        <v>0</v>
      </c>
      <c r="BH21" s="815"/>
      <c r="BI21" s="792"/>
      <c r="BJ21" s="793">
        <f>'[1]Nelle mise en page'!$M$29</f>
        <v>856.99295999999993</v>
      </c>
      <c r="BK21" s="1744"/>
      <c r="BL21" s="1682"/>
      <c r="BM21" s="656" t="s">
        <v>402</v>
      </c>
      <c r="BN21" s="794">
        <f t="shared" si="6"/>
        <v>1417.2944430522239</v>
      </c>
      <c r="BO21" s="1588"/>
      <c r="BP21" s="1668"/>
      <c r="BQ21" s="795"/>
      <c r="BR21" s="796"/>
      <c r="BS21" s="852"/>
      <c r="BT21" s="852"/>
      <c r="BU21" s="852"/>
      <c r="BV21" s="718"/>
      <c r="BX21" s="795">
        <f t="shared" si="7"/>
        <v>1417.2944430522239</v>
      </c>
      <c r="BY21" s="795">
        <f t="shared" si="8"/>
        <v>-560.30148305222394</v>
      </c>
      <c r="BZ21" s="797"/>
      <c r="CA21" s="798">
        <f t="shared" si="11"/>
        <v>0</v>
      </c>
    </row>
    <row r="22" spans="1:79" ht="27.75" thickBot="1">
      <c r="A22" s="656" t="s">
        <v>402</v>
      </c>
      <c r="B22" s="657">
        <f>BJ22*D22/BL22</f>
        <v>8120.3603459615979</v>
      </c>
      <c r="C22" s="1814">
        <f>+B22/T22</f>
        <v>0.26032533435535127</v>
      </c>
      <c r="D22" s="659">
        <f>$BL$22-0.802</f>
        <v>0.19799999999999995</v>
      </c>
      <c r="E22" s="660">
        <f>BJ22*F22/BL22</f>
        <v>0</v>
      </c>
      <c r="F22" s="659"/>
      <c r="G22" s="660">
        <f>B22+E22</f>
        <v>8120.3603459615979</v>
      </c>
      <c r="H22" s="658"/>
      <c r="I22" s="661">
        <f>F22+D22</f>
        <v>0.19799999999999995</v>
      </c>
      <c r="J22" s="1706"/>
      <c r="K22" s="662">
        <f>BJ22*M22/BL22</f>
        <v>20587.984311478398</v>
      </c>
      <c r="L22" s="1817">
        <f>+K22/T22</f>
        <v>0.6600167567999311</v>
      </c>
      <c r="M22" s="1632">
        <f>0.502</f>
        <v>0.502</v>
      </c>
      <c r="N22" s="664">
        <f>BJ22*P22/BL22</f>
        <v>2484.7790009630753</v>
      </c>
      <c r="O22" s="665">
        <f t="shared" ref="O22:O27" si="15">+N22/T22</f>
        <v>7.9657908844717587E-2</v>
      </c>
      <c r="P22" s="1649">
        <f>0.06058675</f>
        <v>6.0586750000000002E-2</v>
      </c>
      <c r="Q22" s="1511"/>
      <c r="R22" s="1512"/>
      <c r="S22" s="1513"/>
      <c r="T22" s="666">
        <f t="shared" si="9"/>
        <v>31193.12365840307</v>
      </c>
      <c r="U22" s="667">
        <f t="shared" si="2"/>
        <v>0.76058674999999987</v>
      </c>
      <c r="V22" s="668"/>
      <c r="W22" s="1879"/>
      <c r="X22" s="656" t="s">
        <v>402</v>
      </c>
      <c r="Y22" s="670"/>
      <c r="Z22" s="853"/>
      <c r="AA22" s="1603"/>
      <c r="AB22" s="673"/>
      <c r="AC22" s="816"/>
      <c r="AD22" s="674"/>
      <c r="AE22" s="675"/>
      <c r="AF22" s="854"/>
      <c r="AG22" s="855"/>
      <c r="AH22" s="677"/>
      <c r="AI22" s="856"/>
      <c r="AJ22" s="679"/>
      <c r="AK22" s="680"/>
      <c r="AL22" s="857"/>
      <c r="AM22" s="858"/>
      <c r="AN22" s="683"/>
      <c r="AO22" s="859"/>
      <c r="AP22" s="860"/>
      <c r="AQ22" s="686"/>
      <c r="AR22" s="687"/>
      <c r="AS22" s="1914"/>
      <c r="AT22" s="801" t="str">
        <f>BM22</f>
        <v>XX</v>
      </c>
      <c r="AU22" s="689">
        <f>BJ22*AV22/BL22</f>
        <v>2067.5442232881242</v>
      </c>
      <c r="AV22" s="690">
        <f>0.05041325/BL22</f>
        <v>5.041325E-2</v>
      </c>
      <c r="AW22" s="691">
        <f>BJ22*$AY22/$BL22</f>
        <v>0</v>
      </c>
      <c r="AX22" s="692"/>
      <c r="AY22" s="693">
        <v>0</v>
      </c>
      <c r="AZ22" s="693"/>
      <c r="BA22" s="691">
        <f>BJ22*$BC22/$BL22</f>
        <v>7792.264978448</v>
      </c>
      <c r="BB22" s="692">
        <f>+BA22/BG22</f>
        <v>0.79030585876610382</v>
      </c>
      <c r="BC22" s="693">
        <f>0.19/BL22</f>
        <v>0.19</v>
      </c>
      <c r="BD22" s="694">
        <f>BJ22*BF22/BL22</f>
        <v>0</v>
      </c>
      <c r="BE22" s="695">
        <f>BF22/BL22</f>
        <v>0</v>
      </c>
      <c r="BF22" s="696">
        <v>0</v>
      </c>
      <c r="BG22" s="697">
        <f>AU22+BA22+BD22</f>
        <v>9859.8092017361232</v>
      </c>
      <c r="BH22" s="803">
        <f>+BG22/BJ22</f>
        <v>0.24041325</v>
      </c>
      <c r="BI22" s="699">
        <f>BF22+BC22+AY22+AV22+AZ22</f>
        <v>0.24041325</v>
      </c>
      <c r="BJ22" s="861">
        <f>'[1]Nelle mise en page'!$Q$37</f>
        <v>41011.920939199998</v>
      </c>
      <c r="BK22" s="1746" t="e">
        <f>BH22+#REF!+U22</f>
        <v>#REF!</v>
      </c>
      <c r="BL22" s="1685">
        <v>1</v>
      </c>
      <c r="BM22" s="656" t="s">
        <v>402</v>
      </c>
      <c r="BN22" s="701">
        <f t="shared" si="6"/>
        <v>41052.93286013919</v>
      </c>
      <c r="BO22" s="1587">
        <f>BL22-BP22</f>
        <v>-9.9999999999988987E-4</v>
      </c>
      <c r="BP22" s="1667">
        <f>D22+M22+P22+S22+AA22+AD22+AG22+AJ22+AV22+BC22+BF22</f>
        <v>1.0009999999999999</v>
      </c>
      <c r="BQ22" s="24">
        <f>BD22+BA22+AW22+AU22+AN22+AK22+AH22+AE22+AB22+Y22+Q22+N22+K22+G22</f>
        <v>41052.932860139197</v>
      </c>
      <c r="BR22" s="702">
        <f>BJ22-BQ22</f>
        <v>-41.011920939199626</v>
      </c>
      <c r="BV22" s="749" t="s">
        <v>31</v>
      </c>
      <c r="BX22" s="24">
        <f t="shared" si="7"/>
        <v>41052.932860139197</v>
      </c>
      <c r="BY22" s="24">
        <f t="shared" si="8"/>
        <v>-41.011920939199626</v>
      </c>
      <c r="CA22" s="703">
        <f t="shared" si="11"/>
        <v>9.9999999999988987E-4</v>
      </c>
    </row>
    <row r="23" spans="1:79" ht="27.75" thickBot="1">
      <c r="A23" s="704"/>
      <c r="B23" s="705">
        <f>BJ23*D22</f>
        <v>289.16707478546175</v>
      </c>
      <c r="C23" s="1815">
        <f>+B23/T23</f>
        <v>0.26032533435535127</v>
      </c>
      <c r="D23" s="707"/>
      <c r="E23" s="708"/>
      <c r="F23" s="707"/>
      <c r="G23" s="708">
        <f t="shared" ref="G23:G24" si="16">B23+E23</f>
        <v>289.16707478546175</v>
      </c>
      <c r="H23" s="709"/>
      <c r="I23" s="710"/>
      <c r="J23" s="1707"/>
      <c r="K23" s="711">
        <f>BJ23*M22</f>
        <v>733.14076536516075</v>
      </c>
      <c r="L23" s="1818">
        <f>+K23/T23</f>
        <v>0.6600167567999311</v>
      </c>
      <c r="M23" s="1633"/>
      <c r="N23" s="713">
        <f>BJ23*P22</f>
        <v>88.483299334636769</v>
      </c>
      <c r="O23" s="714">
        <f t="shared" si="15"/>
        <v>7.9657908844717601E-2</v>
      </c>
      <c r="P23" s="1650"/>
      <c r="Q23" s="1514"/>
      <c r="R23" s="1515"/>
      <c r="S23" s="1516"/>
      <c r="T23" s="715">
        <f t="shared" si="9"/>
        <v>1110.7911394852592</v>
      </c>
      <c r="U23" s="716">
        <f t="shared" si="2"/>
        <v>0.76058674999999998</v>
      </c>
      <c r="V23" s="717"/>
      <c r="W23" s="1879"/>
      <c r="X23" s="718"/>
      <c r="Y23" s="719"/>
      <c r="Z23" s="1560"/>
      <c r="AA23" s="1604"/>
      <c r="AB23" s="720"/>
      <c r="AC23" s="805"/>
      <c r="AD23" s="722"/>
      <c r="AE23" s="723"/>
      <c r="AF23" s="862"/>
      <c r="AG23" s="863"/>
      <c r="AH23" s="726"/>
      <c r="AI23" s="864"/>
      <c r="AJ23" s="728"/>
      <c r="AK23" s="729"/>
      <c r="AL23" s="865"/>
      <c r="AM23" s="866"/>
      <c r="AN23" s="732"/>
      <c r="AO23" s="867"/>
      <c r="AP23" s="868"/>
      <c r="AQ23" s="735"/>
      <c r="AR23" s="736"/>
      <c r="AS23" s="1914"/>
      <c r="AT23" s="801"/>
      <c r="AU23" s="737" t="e">
        <f>BJ23*#REF!</f>
        <v>#REF!</v>
      </c>
      <c r="AV23" s="738"/>
      <c r="AW23" s="739"/>
      <c r="AX23" s="740"/>
      <c r="AY23" s="741"/>
      <c r="AZ23" s="741"/>
      <c r="BA23" s="739">
        <f>BJ23*BB22</f>
        <v>1154.1941079050837</v>
      </c>
      <c r="BB23" s="740"/>
      <c r="BC23" s="741"/>
      <c r="BD23" s="742">
        <f>BJ23*BE22</f>
        <v>0</v>
      </c>
      <c r="BE23" s="809"/>
      <c r="BF23" s="744"/>
      <c r="BG23" s="745" t="e">
        <f>AU23+BA23+BD23</f>
        <v>#REF!</v>
      </c>
      <c r="BH23" s="810"/>
      <c r="BI23" s="747"/>
      <c r="BJ23" s="748">
        <f>'[1]Nelle mise en page'!$Q$32</f>
        <v>1460.4397716437466</v>
      </c>
      <c r="BK23" s="1743"/>
      <c r="BL23" s="1681"/>
      <c r="BM23" s="656" t="s">
        <v>402</v>
      </c>
      <c r="BN23" s="701" t="e">
        <f t="shared" si="6"/>
        <v>#REF!</v>
      </c>
      <c r="BO23" s="1587"/>
      <c r="BP23" s="1667"/>
      <c r="BQ23" s="24"/>
      <c r="BR23" s="702"/>
      <c r="BV23" s="718"/>
      <c r="BX23" s="24" t="e">
        <f t="shared" si="7"/>
        <v>#REF!</v>
      </c>
      <c r="BY23" s="24" t="e">
        <f t="shared" si="8"/>
        <v>#REF!</v>
      </c>
      <c r="CA23" s="703">
        <f t="shared" si="11"/>
        <v>0</v>
      </c>
    </row>
    <row r="24" spans="1:79" ht="27.75" thickBot="1">
      <c r="A24" s="750"/>
      <c r="B24" s="751">
        <f>BJ24*D22</f>
        <v>154.65550319999997</v>
      </c>
      <c r="C24" s="1816">
        <f>+B24/T24</f>
        <v>0.26032533435535132</v>
      </c>
      <c r="D24" s="753"/>
      <c r="E24" s="754"/>
      <c r="F24" s="753"/>
      <c r="G24" s="754">
        <f t="shared" si="16"/>
        <v>154.65550319999997</v>
      </c>
      <c r="H24" s="752"/>
      <c r="I24" s="755"/>
      <c r="J24" s="1708"/>
      <c r="K24" s="756">
        <f>BJ24*M22</f>
        <v>392.10637679999996</v>
      </c>
      <c r="L24" s="1820">
        <f>+K24/T24</f>
        <v>0.66001675679993121</v>
      </c>
      <c r="M24" s="1634"/>
      <c r="N24" s="758">
        <f>BJ24*P22</f>
        <v>47.323607618700002</v>
      </c>
      <c r="O24" s="759">
        <f t="shared" si="15"/>
        <v>7.9657908844717601E-2</v>
      </c>
      <c r="P24" s="1651"/>
      <c r="Q24" s="1517"/>
      <c r="R24" s="1518"/>
      <c r="S24" s="1519"/>
      <c r="T24" s="760">
        <f t="shared" si="9"/>
        <v>594.08548761869986</v>
      </c>
      <c r="U24" s="761">
        <f t="shared" si="2"/>
        <v>0.76058674999999987</v>
      </c>
      <c r="V24" s="762"/>
      <c r="W24" s="1879"/>
      <c r="X24" s="763"/>
      <c r="Y24" s="764"/>
      <c r="Z24" s="869"/>
      <c r="AA24" s="1605"/>
      <c r="AB24" s="765"/>
      <c r="AC24" s="812"/>
      <c r="AD24" s="766"/>
      <c r="AE24" s="767"/>
      <c r="AF24" s="870"/>
      <c r="AG24" s="871"/>
      <c r="AH24" s="770"/>
      <c r="AI24" s="872"/>
      <c r="AJ24" s="772"/>
      <c r="AK24" s="773"/>
      <c r="AL24" s="873"/>
      <c r="AM24" s="874"/>
      <c r="AN24" s="776"/>
      <c r="AO24" s="875"/>
      <c r="AP24" s="876"/>
      <c r="AQ24" s="779"/>
      <c r="AR24" s="780"/>
      <c r="AS24" s="1914"/>
      <c r="AT24" s="801"/>
      <c r="AU24" s="781" t="e">
        <f>BJ24*#REF!</f>
        <v>#REF!</v>
      </c>
      <c r="AV24" s="783"/>
      <c r="AW24" s="784"/>
      <c r="AX24" s="785"/>
      <c r="AY24" s="786"/>
      <c r="AZ24" s="786"/>
      <c r="BA24" s="784">
        <f>BJ24*BB22</f>
        <v>617.29873873424197</v>
      </c>
      <c r="BB24" s="785"/>
      <c r="BC24" s="786"/>
      <c r="BD24" s="787">
        <f>BJ24*BE22</f>
        <v>0</v>
      </c>
      <c r="BE24" s="788"/>
      <c r="BF24" s="789"/>
      <c r="BG24" s="790" t="e">
        <f>AU24+BA24+BD24</f>
        <v>#REF!</v>
      </c>
      <c r="BH24" s="815"/>
      <c r="BI24" s="792"/>
      <c r="BJ24" s="748">
        <f>'[1]Nelle mise en page'!$Q$29</f>
        <v>781.08839999999998</v>
      </c>
      <c r="BK24" s="1743"/>
      <c r="BL24" s="1681"/>
      <c r="BM24" s="656" t="s">
        <v>402</v>
      </c>
      <c r="BN24" s="794" t="e">
        <f t="shared" si="6"/>
        <v>#REF!</v>
      </c>
      <c r="BO24" s="1588"/>
      <c r="BP24" s="1668"/>
      <c r="BQ24" s="795"/>
      <c r="BR24" s="796"/>
      <c r="BS24" s="797"/>
      <c r="BT24" s="797"/>
      <c r="BU24" s="797"/>
      <c r="BV24" s="718"/>
      <c r="BX24" s="795" t="e">
        <f t="shared" si="7"/>
        <v>#REF!</v>
      </c>
      <c r="BY24" s="795" t="e">
        <f t="shared" si="8"/>
        <v>#REF!</v>
      </c>
      <c r="BZ24" s="797"/>
      <c r="CA24" s="798">
        <f t="shared" si="11"/>
        <v>0</v>
      </c>
    </row>
    <row r="25" spans="1:79" ht="27.75" thickBot="1">
      <c r="A25" s="656" t="s">
        <v>402</v>
      </c>
      <c r="B25" s="657"/>
      <c r="C25" s="658"/>
      <c r="D25" s="659"/>
      <c r="E25" s="660"/>
      <c r="F25" s="659"/>
      <c r="G25" s="660"/>
      <c r="H25" s="658"/>
      <c r="I25" s="661"/>
      <c r="J25" s="1706"/>
      <c r="K25" s="662">
        <f>BJ25*$M25/$BL25</f>
        <v>0</v>
      </c>
      <c r="L25" s="663">
        <f>M25/BL25</f>
        <v>0</v>
      </c>
      <c r="M25" s="1632">
        <v>0</v>
      </c>
      <c r="N25" s="664">
        <f>BJ25*$P25/$BL25</f>
        <v>18395.744155254397</v>
      </c>
      <c r="O25" s="665">
        <f t="shared" si="15"/>
        <v>1</v>
      </c>
      <c r="P25" s="1649">
        <f>0.62/BL22</f>
        <v>0.62</v>
      </c>
      <c r="Q25" s="1511"/>
      <c r="R25" s="1512"/>
      <c r="S25" s="1513"/>
      <c r="T25" s="666">
        <f t="shared" si="9"/>
        <v>18395.744155254397</v>
      </c>
      <c r="U25" s="667">
        <f t="shared" si="2"/>
        <v>0.62</v>
      </c>
      <c r="V25" s="668"/>
      <c r="W25" s="1879"/>
      <c r="X25" s="656" t="s">
        <v>402</v>
      </c>
      <c r="Y25" s="670">
        <f>BJ25*$AA25/$BL25</f>
        <v>11274.8109338656</v>
      </c>
      <c r="Z25" s="671">
        <f t="shared" ref="Z25:Z42" si="17">+Y25/AQ25</f>
        <v>1</v>
      </c>
      <c r="AA25" s="1603">
        <f>0.38/BL25</f>
        <v>0.38</v>
      </c>
      <c r="AB25" s="673"/>
      <c r="AC25" s="816"/>
      <c r="AD25" s="674"/>
      <c r="AE25" s="675"/>
      <c r="AF25" s="877"/>
      <c r="AG25" s="855"/>
      <c r="AH25" s="677"/>
      <c r="AI25" s="856"/>
      <c r="AJ25" s="679"/>
      <c r="AK25" s="680"/>
      <c r="AL25" s="857"/>
      <c r="AM25" s="858"/>
      <c r="AN25" s="683"/>
      <c r="AO25" s="859"/>
      <c r="AP25" s="860"/>
      <c r="AQ25" s="686">
        <f>Y25+AB25+AE25+AH25+AK25</f>
        <v>11274.8109338656</v>
      </c>
      <c r="AR25" s="687">
        <f>AA25+AD25+AG25+AJ25+AM25</f>
        <v>0.38</v>
      </c>
      <c r="AS25" s="1914"/>
      <c r="AT25" s="801" t="str">
        <f>BM25</f>
        <v>XX</v>
      </c>
      <c r="AU25" s="689"/>
      <c r="AV25" s="802"/>
      <c r="AW25" s="691"/>
      <c r="AX25" s="692"/>
      <c r="AY25" s="693"/>
      <c r="AZ25" s="693"/>
      <c r="BA25" s="691"/>
      <c r="BB25" s="692"/>
      <c r="BC25" s="693"/>
      <c r="BD25" s="878"/>
      <c r="BE25" s="695"/>
      <c r="BF25" s="696"/>
      <c r="BG25" s="697"/>
      <c r="BH25" s="803"/>
      <c r="BI25" s="699"/>
      <c r="BJ25" s="700">
        <f>'[1]Nelle mise en page'!$I$37</f>
        <v>29670.555089119996</v>
      </c>
      <c r="BK25" s="1742" t="e">
        <f>BH25+#REF!+U25</f>
        <v>#REF!</v>
      </c>
      <c r="BL25" s="1680">
        <v>1</v>
      </c>
      <c r="BM25" s="656" t="s">
        <v>402</v>
      </c>
      <c r="BN25" s="701">
        <f t="shared" si="6"/>
        <v>29670.555089119996</v>
      </c>
      <c r="BO25" s="1587"/>
      <c r="BP25" s="1667">
        <f>D25+M25+P25+S25+AA25+AD25+AG25+AJ25+AV25+BC25+BF25</f>
        <v>1</v>
      </c>
      <c r="BQ25" s="24"/>
      <c r="BR25" s="702"/>
      <c r="BV25" s="749" t="s">
        <v>32</v>
      </c>
      <c r="BX25" s="24">
        <f t="shared" si="7"/>
        <v>29670.555089119996</v>
      </c>
      <c r="BY25" s="24">
        <f t="shared" si="8"/>
        <v>0</v>
      </c>
      <c r="CA25" s="703">
        <f t="shared" si="11"/>
        <v>0</v>
      </c>
    </row>
    <row r="26" spans="1:79" ht="27.75" thickBot="1">
      <c r="A26" s="704"/>
      <c r="B26" s="705"/>
      <c r="C26" s="706"/>
      <c r="D26" s="707"/>
      <c r="E26" s="708"/>
      <c r="F26" s="707"/>
      <c r="G26" s="708"/>
      <c r="H26" s="709"/>
      <c r="I26" s="710"/>
      <c r="J26" s="1707"/>
      <c r="K26" s="711">
        <f>BJ26*L25</f>
        <v>0</v>
      </c>
      <c r="L26" s="712"/>
      <c r="M26" s="1633"/>
      <c r="N26" s="713">
        <f>BJ26*P25</f>
        <v>584.69187042422595</v>
      </c>
      <c r="O26" s="714">
        <f t="shared" si="15"/>
        <v>1</v>
      </c>
      <c r="P26" s="1650"/>
      <c r="Q26" s="1514"/>
      <c r="R26" s="1515"/>
      <c r="S26" s="1516"/>
      <c r="T26" s="715">
        <f t="shared" si="9"/>
        <v>584.69187042422595</v>
      </c>
      <c r="U26" s="716">
        <f t="shared" si="2"/>
        <v>0.62</v>
      </c>
      <c r="V26" s="717"/>
      <c r="W26" s="1879"/>
      <c r="X26" s="718"/>
      <c r="Y26" s="719">
        <f>BJ26*Z25</f>
        <v>943.05140391004193</v>
      </c>
      <c r="Z26" s="880">
        <f t="shared" si="17"/>
        <v>1</v>
      </c>
      <c r="AA26" s="1604"/>
      <c r="AB26" s="720"/>
      <c r="AC26" s="805"/>
      <c r="AD26" s="722"/>
      <c r="AE26" s="723"/>
      <c r="AF26" s="881"/>
      <c r="AG26" s="863"/>
      <c r="AH26" s="726"/>
      <c r="AI26" s="864"/>
      <c r="AJ26" s="728"/>
      <c r="AK26" s="729"/>
      <c r="AL26" s="865"/>
      <c r="AM26" s="866"/>
      <c r="AN26" s="732"/>
      <c r="AO26" s="867"/>
      <c r="AP26" s="868"/>
      <c r="AQ26" s="735">
        <f>Y26+AB26+AE26+AH26+AK26</f>
        <v>943.05140391004193</v>
      </c>
      <c r="AR26" s="736"/>
      <c r="AS26" s="1914"/>
      <c r="AT26" s="801"/>
      <c r="AU26" s="737"/>
      <c r="AV26" s="808"/>
      <c r="AW26" s="739"/>
      <c r="AX26" s="740"/>
      <c r="AY26" s="741"/>
      <c r="AZ26" s="741"/>
      <c r="BA26" s="739"/>
      <c r="BB26" s="740"/>
      <c r="BC26" s="741"/>
      <c r="BD26" s="882"/>
      <c r="BE26" s="809"/>
      <c r="BF26" s="744"/>
      <c r="BG26" s="745"/>
      <c r="BH26" s="810"/>
      <c r="BI26" s="747"/>
      <c r="BJ26" s="748">
        <f>'[1]Nelle mise en page'!$I$32</f>
        <v>943.05140391004193</v>
      </c>
      <c r="BK26" s="1743"/>
      <c r="BL26" s="1681"/>
      <c r="BM26" s="656" t="s">
        <v>402</v>
      </c>
      <c r="BN26" s="701">
        <f t="shared" si="6"/>
        <v>1527.7432743342679</v>
      </c>
      <c r="BO26" s="1587"/>
      <c r="BP26" s="1667"/>
      <c r="BQ26" s="24"/>
      <c r="BR26" s="702"/>
      <c r="BV26" s="718"/>
      <c r="BX26" s="24">
        <f t="shared" si="7"/>
        <v>1527.7432743342679</v>
      </c>
      <c r="BY26" s="24">
        <f t="shared" si="8"/>
        <v>-584.69187042422595</v>
      </c>
      <c r="CA26" s="703">
        <f t="shared" si="11"/>
        <v>0</v>
      </c>
    </row>
    <row r="27" spans="1:79" ht="27.75" thickBot="1">
      <c r="A27" s="750"/>
      <c r="B27" s="751"/>
      <c r="C27" s="752"/>
      <c r="D27" s="753"/>
      <c r="E27" s="754"/>
      <c r="F27" s="753"/>
      <c r="G27" s="754"/>
      <c r="H27" s="752"/>
      <c r="I27" s="755"/>
      <c r="J27" s="1708"/>
      <c r="K27" s="756">
        <f>BJ27*L25</f>
        <v>0</v>
      </c>
      <c r="L27" s="757"/>
      <c r="M27" s="1634"/>
      <c r="N27" s="758">
        <f>BJ27*P25</f>
        <v>386.32571999999999</v>
      </c>
      <c r="O27" s="759">
        <f t="shared" si="15"/>
        <v>1</v>
      </c>
      <c r="P27" s="1651"/>
      <c r="Q27" s="1517"/>
      <c r="R27" s="1518"/>
      <c r="S27" s="1519"/>
      <c r="T27" s="760">
        <f t="shared" si="9"/>
        <v>386.32571999999999</v>
      </c>
      <c r="U27" s="761">
        <f t="shared" si="2"/>
        <v>0.62</v>
      </c>
      <c r="V27" s="762"/>
      <c r="W27" s="1879"/>
      <c r="X27" s="763"/>
      <c r="Y27" s="764">
        <f>BJ27*Z25</f>
        <v>623.10599999999999</v>
      </c>
      <c r="Z27" s="883">
        <f t="shared" si="17"/>
        <v>1</v>
      </c>
      <c r="AA27" s="1605"/>
      <c r="AB27" s="765"/>
      <c r="AC27" s="812"/>
      <c r="AD27" s="766"/>
      <c r="AE27" s="767"/>
      <c r="AF27" s="884"/>
      <c r="AG27" s="871"/>
      <c r="AH27" s="770"/>
      <c r="AI27" s="872"/>
      <c r="AJ27" s="772"/>
      <c r="AK27" s="773"/>
      <c r="AL27" s="873"/>
      <c r="AM27" s="874"/>
      <c r="AN27" s="776"/>
      <c r="AO27" s="875"/>
      <c r="AP27" s="876"/>
      <c r="AQ27" s="779">
        <f>Y27+AB27+AE27+AH27+AK27</f>
        <v>623.10599999999999</v>
      </c>
      <c r="AR27" s="780"/>
      <c r="AS27" s="1914"/>
      <c r="AT27" s="801"/>
      <c r="AU27" s="781"/>
      <c r="AV27" s="782"/>
      <c r="AW27" s="784"/>
      <c r="AX27" s="785"/>
      <c r="AY27" s="786"/>
      <c r="AZ27" s="786"/>
      <c r="BA27" s="784"/>
      <c r="BB27" s="785"/>
      <c r="BC27" s="786"/>
      <c r="BD27" s="885"/>
      <c r="BE27" s="788"/>
      <c r="BF27" s="789"/>
      <c r="BG27" s="790"/>
      <c r="BH27" s="815"/>
      <c r="BI27" s="792"/>
      <c r="BJ27" s="793">
        <f>'[1]Nelle mise en page'!$I$29</f>
        <v>623.10599999999999</v>
      </c>
      <c r="BK27" s="1744"/>
      <c r="BL27" s="1682"/>
      <c r="BM27" s="656" t="s">
        <v>402</v>
      </c>
      <c r="BN27" s="794">
        <f t="shared" si="6"/>
        <v>1009.43172</v>
      </c>
      <c r="BO27" s="1588"/>
      <c r="BP27" s="1668"/>
      <c r="BQ27" s="795"/>
      <c r="BR27" s="796"/>
      <c r="BS27" s="797"/>
      <c r="BT27" s="797"/>
      <c r="BU27" s="797"/>
      <c r="BV27" s="718"/>
      <c r="BX27" s="795">
        <f t="shared" si="7"/>
        <v>1009.43172</v>
      </c>
      <c r="BY27" s="795">
        <f t="shared" si="8"/>
        <v>-386.32572000000005</v>
      </c>
      <c r="BZ27" s="797"/>
      <c r="CA27" s="798">
        <f t="shared" si="11"/>
        <v>0</v>
      </c>
    </row>
    <row r="28" spans="1:79" ht="27.75" thickBot="1">
      <c r="A28" s="656" t="s">
        <v>402</v>
      </c>
      <c r="B28" s="657"/>
      <c r="C28" s="658"/>
      <c r="D28" s="659"/>
      <c r="E28" s="660"/>
      <c r="F28" s="659"/>
      <c r="G28" s="660"/>
      <c r="H28" s="658"/>
      <c r="I28" s="661"/>
      <c r="J28" s="1706"/>
      <c r="K28" s="662"/>
      <c r="L28" s="663"/>
      <c r="M28" s="1632"/>
      <c r="N28" s="664"/>
      <c r="O28" s="665"/>
      <c r="P28" s="1649"/>
      <c r="Q28" s="1511"/>
      <c r="R28" s="1512"/>
      <c r="S28" s="1513"/>
      <c r="T28" s="666"/>
      <c r="U28" s="667"/>
      <c r="V28" s="668"/>
      <c r="W28" s="1879"/>
      <c r="X28" s="656" t="s">
        <v>402</v>
      </c>
      <c r="Y28" s="670">
        <f>BJ28*$AA28/$BL28</f>
        <v>5636.6645239423997</v>
      </c>
      <c r="Z28" s="671">
        <f t="shared" si="17"/>
        <v>0.13</v>
      </c>
      <c r="AA28" s="1603">
        <f>0.13/BL28</f>
        <v>0.13</v>
      </c>
      <c r="AB28" s="673">
        <f>BJ28*AD28/$BL28</f>
        <v>37722.293352537599</v>
      </c>
      <c r="AC28" s="816">
        <f>+AB28/AQ28</f>
        <v>0.87000000000000011</v>
      </c>
      <c r="AD28" s="674">
        <f>0.87/BL28</f>
        <v>0.87</v>
      </c>
      <c r="AE28" s="675"/>
      <c r="AF28" s="676"/>
      <c r="AG28" s="676"/>
      <c r="AH28" s="677"/>
      <c r="AI28" s="679"/>
      <c r="AJ28" s="679"/>
      <c r="AK28" s="680">
        <f>BJ28*$AM28/$BL28</f>
        <v>0</v>
      </c>
      <c r="AL28" s="681">
        <v>5.3999999999999999E-2</v>
      </c>
      <c r="AM28" s="682"/>
      <c r="AN28" s="683">
        <f>BJ28*$AP28/$BL28</f>
        <v>3198.2196034580857</v>
      </c>
      <c r="AO28" s="886">
        <f>+AN28/AQ28</f>
        <v>7.3761450000000006E-2</v>
      </c>
      <c r="AP28" s="685">
        <v>7.3761450000000006E-2</v>
      </c>
      <c r="AQ28" s="686">
        <f t="shared" si="13"/>
        <v>43358.957876479995</v>
      </c>
      <c r="AR28" s="687">
        <f>AA28+AD28+AG28+AJ28+AM28</f>
        <v>1</v>
      </c>
      <c r="AS28" s="1914"/>
      <c r="AT28" s="801" t="str">
        <f>BM28</f>
        <v>XX</v>
      </c>
      <c r="AU28" s="689"/>
      <c r="AV28" s="802"/>
      <c r="AW28" s="691"/>
      <c r="AX28" s="887"/>
      <c r="AY28" s="693"/>
      <c r="AZ28" s="693"/>
      <c r="BA28" s="691"/>
      <c r="BB28" s="692"/>
      <c r="BC28" s="693"/>
      <c r="BD28" s="694"/>
      <c r="BE28" s="695"/>
      <c r="BF28" s="696"/>
      <c r="BG28" s="697"/>
      <c r="BH28" s="803"/>
      <c r="BI28" s="699"/>
      <c r="BJ28" s="700">
        <f>'[1]Nelle mise en page'!$S$37</f>
        <v>43358.957876479995</v>
      </c>
      <c r="BK28" s="1742" t="e">
        <f>BH28+#REF!+U28</f>
        <v>#REF!</v>
      </c>
      <c r="BL28" s="1680">
        <v>1</v>
      </c>
      <c r="BM28" s="656" t="s">
        <v>402</v>
      </c>
      <c r="BN28" s="701">
        <f t="shared" si="6"/>
        <v>43358.957876479995</v>
      </c>
      <c r="BO28" s="1587"/>
      <c r="BP28" s="1667">
        <f>D28+M28+P28+S28+AA28+AD28+AG28+AJ28+AV28+BC28+BF28</f>
        <v>1</v>
      </c>
      <c r="BQ28" s="24">
        <f>BD28+BA28+AW28+AU28+AN28+AK28+AH28+AE28+AB28+Y28+Q28+N28+K28+G28</f>
        <v>46557.17747993808</v>
      </c>
      <c r="BR28" s="702">
        <f>BJ28-BQ28</f>
        <v>-3198.2196034580847</v>
      </c>
      <c r="BV28" s="749" t="s">
        <v>33</v>
      </c>
      <c r="BX28" s="24">
        <f t="shared" si="7"/>
        <v>43358.957876479995</v>
      </c>
      <c r="BY28" s="24">
        <f t="shared" si="8"/>
        <v>0</v>
      </c>
      <c r="CA28" s="703">
        <f t="shared" si="11"/>
        <v>0</v>
      </c>
    </row>
    <row r="29" spans="1:79" ht="27.75" thickBot="1">
      <c r="A29" s="704"/>
      <c r="B29" s="705"/>
      <c r="C29" s="706"/>
      <c r="D29" s="707"/>
      <c r="E29" s="708"/>
      <c r="F29" s="707"/>
      <c r="G29" s="708"/>
      <c r="H29" s="709"/>
      <c r="I29" s="710"/>
      <c r="J29" s="1707"/>
      <c r="K29" s="711"/>
      <c r="L29" s="712"/>
      <c r="M29" s="1633"/>
      <c r="N29" s="713"/>
      <c r="O29" s="714"/>
      <c r="P29" s="1650"/>
      <c r="Q29" s="1514"/>
      <c r="R29" s="1515"/>
      <c r="S29" s="1516"/>
      <c r="T29" s="715"/>
      <c r="U29" s="716"/>
      <c r="V29" s="717"/>
      <c r="W29" s="1879"/>
      <c r="X29" s="718"/>
      <c r="Y29" s="719">
        <f>BJ29*Z28</f>
        <v>200.01534289994154</v>
      </c>
      <c r="Z29" s="880">
        <f t="shared" si="17"/>
        <v>0.12999999999999998</v>
      </c>
      <c r="AA29" s="1604"/>
      <c r="AB29" s="720">
        <f>BJ29*AC28</f>
        <v>1338.5642178688397</v>
      </c>
      <c r="AC29" s="805">
        <f>+AB29/AQ29</f>
        <v>0.87</v>
      </c>
      <c r="AD29" s="888"/>
      <c r="AE29" s="723"/>
      <c r="AF29" s="889"/>
      <c r="AG29" s="725"/>
      <c r="AH29" s="726"/>
      <c r="AI29" s="728"/>
      <c r="AJ29" s="728"/>
      <c r="AK29" s="729"/>
      <c r="AL29" s="730"/>
      <c r="AM29" s="731"/>
      <c r="AN29" s="732">
        <f>BJ29*AO28</f>
        <v>113.48785934266841</v>
      </c>
      <c r="AO29" s="890"/>
      <c r="AP29" s="734"/>
      <c r="AQ29" s="735">
        <f t="shared" si="13"/>
        <v>1538.5795607687812</v>
      </c>
      <c r="AR29" s="736"/>
      <c r="AS29" s="1914"/>
      <c r="AT29" s="801"/>
      <c r="AU29" s="737"/>
      <c r="AV29" s="808"/>
      <c r="AW29" s="739"/>
      <c r="AX29" s="891"/>
      <c r="AY29" s="741"/>
      <c r="AZ29" s="741"/>
      <c r="BA29" s="739"/>
      <c r="BB29" s="740"/>
      <c r="BC29" s="741"/>
      <c r="BD29" s="742"/>
      <c r="BE29" s="809"/>
      <c r="BF29" s="744"/>
      <c r="BG29" s="745"/>
      <c r="BH29" s="810"/>
      <c r="BI29" s="747"/>
      <c r="BJ29" s="748">
        <f>'[1]Nelle mise en page'!$S$32</f>
        <v>1538.579560768781</v>
      </c>
      <c r="BK29" s="1743"/>
      <c r="BL29" s="1681"/>
      <c r="BM29" s="656" t="s">
        <v>402</v>
      </c>
      <c r="BN29" s="701">
        <f t="shared" si="6"/>
        <v>1538.5795607687812</v>
      </c>
      <c r="BO29" s="1587"/>
      <c r="BP29" s="1667"/>
      <c r="BQ29" s="24"/>
      <c r="BR29" s="702"/>
      <c r="BV29" s="718"/>
      <c r="BX29" s="24">
        <f t="shared" si="7"/>
        <v>1538.5795607687812</v>
      </c>
      <c r="BY29" s="24">
        <f t="shared" si="8"/>
        <v>0</v>
      </c>
      <c r="CA29" s="703">
        <f t="shared" si="11"/>
        <v>0</v>
      </c>
    </row>
    <row r="30" spans="1:79" ht="27.75" thickBot="1">
      <c r="A30" s="750"/>
      <c r="B30" s="751"/>
      <c r="C30" s="752"/>
      <c r="D30" s="753"/>
      <c r="E30" s="754"/>
      <c r="F30" s="753"/>
      <c r="G30" s="754"/>
      <c r="H30" s="752"/>
      <c r="I30" s="755"/>
      <c r="J30" s="1708"/>
      <c r="K30" s="756"/>
      <c r="L30" s="757"/>
      <c r="M30" s="1634"/>
      <c r="N30" s="758"/>
      <c r="O30" s="759"/>
      <c r="P30" s="1651"/>
      <c r="Q30" s="1517"/>
      <c r="R30" s="1518"/>
      <c r="S30" s="1519"/>
      <c r="T30" s="760"/>
      <c r="U30" s="761"/>
      <c r="V30" s="762"/>
      <c r="W30" s="1879"/>
      <c r="X30" s="763"/>
      <c r="Y30" s="764">
        <f>BJ30*Z28</f>
        <v>107.53404479999999</v>
      </c>
      <c r="Z30" s="883">
        <f t="shared" si="17"/>
        <v>0.13</v>
      </c>
      <c r="AA30" s="1605"/>
      <c r="AB30" s="765">
        <f>BJ30*AC28</f>
        <v>719.65091519999999</v>
      </c>
      <c r="AC30" s="812">
        <f>+AB30/AQ30</f>
        <v>0.87000000000000011</v>
      </c>
      <c r="AD30" s="892"/>
      <c r="AE30" s="767"/>
      <c r="AF30" s="893"/>
      <c r="AG30" s="769"/>
      <c r="AH30" s="770"/>
      <c r="AI30" s="772"/>
      <c r="AJ30" s="772"/>
      <c r="AK30" s="773"/>
      <c r="AL30" s="774"/>
      <c r="AM30" s="775"/>
      <c r="AN30" s="776">
        <f>BJ30*AO28</f>
        <v>61.014362067792</v>
      </c>
      <c r="AO30" s="894"/>
      <c r="AP30" s="778"/>
      <c r="AQ30" s="779">
        <f t="shared" si="13"/>
        <v>827.18495999999993</v>
      </c>
      <c r="AR30" s="780"/>
      <c r="AS30" s="1914"/>
      <c r="AT30" s="801"/>
      <c r="AU30" s="781"/>
      <c r="AV30" s="782"/>
      <c r="AW30" s="784"/>
      <c r="AX30" s="895"/>
      <c r="AY30" s="786"/>
      <c r="AZ30" s="786"/>
      <c r="BA30" s="784"/>
      <c r="BB30" s="785"/>
      <c r="BC30" s="786"/>
      <c r="BD30" s="787"/>
      <c r="BE30" s="788"/>
      <c r="BF30" s="789"/>
      <c r="BG30" s="790"/>
      <c r="BH30" s="815"/>
      <c r="BI30" s="792"/>
      <c r="BJ30" s="793">
        <f>'[1]Nelle mise en page'!$S$29</f>
        <v>827.18495999999993</v>
      </c>
      <c r="BK30" s="1744"/>
      <c r="BL30" s="1682"/>
      <c r="BM30" s="656" t="s">
        <v>402</v>
      </c>
      <c r="BN30" s="701">
        <f t="shared" si="6"/>
        <v>827.18495999999993</v>
      </c>
      <c r="BO30" s="1587"/>
      <c r="BP30" s="1667"/>
      <c r="BQ30" s="24"/>
      <c r="BR30" s="702"/>
      <c r="BV30" s="718"/>
      <c r="BX30" s="24">
        <f t="shared" si="7"/>
        <v>827.18495999999993</v>
      </c>
      <c r="BY30" s="24">
        <f t="shared" si="8"/>
        <v>0</v>
      </c>
      <c r="CA30" s="703">
        <f t="shared" si="11"/>
        <v>0</v>
      </c>
    </row>
    <row r="31" spans="1:79" ht="27.75" thickBot="1">
      <c r="A31" s="656" t="s">
        <v>402</v>
      </c>
      <c r="B31" s="657"/>
      <c r="C31" s="658"/>
      <c r="D31" s="659"/>
      <c r="E31" s="660"/>
      <c r="F31" s="659"/>
      <c r="G31" s="660"/>
      <c r="H31" s="658"/>
      <c r="I31" s="661"/>
      <c r="J31" s="1706"/>
      <c r="K31" s="662"/>
      <c r="L31" s="663"/>
      <c r="M31" s="1632"/>
      <c r="N31" s="664"/>
      <c r="O31" s="665"/>
      <c r="P31" s="1649"/>
      <c r="Q31" s="1511"/>
      <c r="R31" s="1512"/>
      <c r="S31" s="1513"/>
      <c r="T31" s="666"/>
      <c r="U31" s="667"/>
      <c r="V31" s="668"/>
      <c r="W31" s="1879"/>
      <c r="X31" s="656" t="s">
        <v>402</v>
      </c>
      <c r="Y31" s="670">
        <f>BJ31*$AA31/$BL31</f>
        <v>35522.169296182117</v>
      </c>
      <c r="Z31" s="672">
        <f t="shared" si="17"/>
        <v>1</v>
      </c>
      <c r="AA31" s="1603">
        <v>0.8</v>
      </c>
      <c r="AB31" s="673"/>
      <c r="AC31" s="816"/>
      <c r="AD31" s="674"/>
      <c r="AE31" s="675"/>
      <c r="AF31" s="676"/>
      <c r="AG31" s="676"/>
      <c r="AH31" s="677"/>
      <c r="AI31" s="679"/>
      <c r="AJ31" s="679"/>
      <c r="AK31" s="680">
        <f>BJ31*$AM31/$BL31</f>
        <v>0</v>
      </c>
      <c r="AL31" s="681">
        <v>5.3999999999999999E-2</v>
      </c>
      <c r="AM31" s="682"/>
      <c r="AN31" s="683">
        <f>BJ31*$AP31/$BL31</f>
        <v>0</v>
      </c>
      <c r="AO31" s="819"/>
      <c r="AP31" s="685">
        <v>0</v>
      </c>
      <c r="AQ31" s="686">
        <f t="shared" si="13"/>
        <v>35522.169296182117</v>
      </c>
      <c r="AR31" s="687">
        <f>AA31+AD31+AG31+AJ31+AM31</f>
        <v>0.8</v>
      </c>
      <c r="AS31" s="1914"/>
      <c r="AT31" s="801" t="str">
        <f>BM31</f>
        <v>XX</v>
      </c>
      <c r="AU31" s="689"/>
      <c r="AV31" s="802"/>
      <c r="AW31" s="691"/>
      <c r="AX31" s="692"/>
      <c r="AY31" s="693"/>
      <c r="AZ31" s="693"/>
      <c r="BA31" s="691"/>
      <c r="BB31" s="692"/>
      <c r="BC31" s="693"/>
      <c r="BD31" s="694"/>
      <c r="BE31" s="695"/>
      <c r="BF31" s="696"/>
      <c r="BG31" s="697"/>
      <c r="BH31" s="803"/>
      <c r="BI31" s="699"/>
      <c r="BJ31" s="700">
        <f>'[1]Nelle mise en page'!$H$37</f>
        <v>35522.169296182117</v>
      </c>
      <c r="BK31" s="1742" t="e">
        <f>BH31+#REF!+U31</f>
        <v>#REF!</v>
      </c>
      <c r="BL31" s="1680">
        <v>0.8</v>
      </c>
      <c r="BM31" s="656" t="s">
        <v>402</v>
      </c>
      <c r="BN31" s="701">
        <f t="shared" si="6"/>
        <v>35522.169296182117</v>
      </c>
      <c r="BO31" s="1587"/>
      <c r="BP31" s="1667">
        <f>D31+M31+P31+S31+AA31+AD31+AG31+AJ31+AV31+BC31+BF31</f>
        <v>0.8</v>
      </c>
      <c r="BQ31" s="24">
        <f>BD31+BA31+AW31+AU31+AN31+AK31+AH31+AE31+AB31+Y31+Q31+N31+K31+G31</f>
        <v>35522.169296182117</v>
      </c>
      <c r="BR31" s="702">
        <f>BJ31-BQ31</f>
        <v>0</v>
      </c>
      <c r="BV31" s="718" t="s">
        <v>34</v>
      </c>
      <c r="BX31" s="24">
        <f t="shared" si="7"/>
        <v>35522.169296182117</v>
      </c>
      <c r="BY31" s="24">
        <f t="shared" si="8"/>
        <v>0</v>
      </c>
      <c r="CA31" s="703">
        <f t="shared" si="11"/>
        <v>0</v>
      </c>
    </row>
    <row r="32" spans="1:79" ht="27.75" thickBot="1">
      <c r="A32" s="704"/>
      <c r="B32" s="705"/>
      <c r="C32" s="706"/>
      <c r="D32" s="707"/>
      <c r="E32" s="708"/>
      <c r="F32" s="707"/>
      <c r="G32" s="708"/>
      <c r="H32" s="709"/>
      <c r="I32" s="710"/>
      <c r="J32" s="1707"/>
      <c r="K32" s="711"/>
      <c r="L32" s="712"/>
      <c r="M32" s="1633"/>
      <c r="N32" s="713"/>
      <c r="O32" s="714"/>
      <c r="P32" s="1650"/>
      <c r="Q32" s="1514"/>
      <c r="R32" s="1515"/>
      <c r="S32" s="1516"/>
      <c r="T32" s="715"/>
      <c r="U32" s="716"/>
      <c r="V32" s="717"/>
      <c r="W32" s="1879"/>
      <c r="X32" s="718"/>
      <c r="Y32" s="719">
        <f>BJ32*AA31/BL31</f>
        <v>1095.8760003549367</v>
      </c>
      <c r="Z32" s="842">
        <f t="shared" si="17"/>
        <v>1</v>
      </c>
      <c r="AA32" s="1604"/>
      <c r="AB32" s="720"/>
      <c r="AC32" s="805"/>
      <c r="AD32" s="722"/>
      <c r="AE32" s="723"/>
      <c r="AF32" s="806"/>
      <c r="AG32" s="725"/>
      <c r="AH32" s="726"/>
      <c r="AI32" s="728"/>
      <c r="AJ32" s="728"/>
      <c r="AK32" s="729"/>
      <c r="AL32" s="730"/>
      <c r="AM32" s="731"/>
      <c r="AN32" s="732"/>
      <c r="AO32" s="826"/>
      <c r="AP32" s="734"/>
      <c r="AQ32" s="735">
        <f t="shared" si="13"/>
        <v>1095.8760003549367</v>
      </c>
      <c r="AR32" s="736"/>
      <c r="AS32" s="1914"/>
      <c r="AT32" s="801"/>
      <c r="AU32" s="737"/>
      <c r="AV32" s="808"/>
      <c r="AW32" s="739"/>
      <c r="AX32" s="740"/>
      <c r="AY32" s="741"/>
      <c r="AZ32" s="741"/>
      <c r="BA32" s="739"/>
      <c r="BB32" s="740"/>
      <c r="BC32" s="741"/>
      <c r="BD32" s="742"/>
      <c r="BE32" s="809"/>
      <c r="BF32" s="744"/>
      <c r="BG32" s="745"/>
      <c r="BH32" s="810"/>
      <c r="BI32" s="747"/>
      <c r="BJ32" s="748">
        <f>'[1]Nelle mise en page'!$H$32</f>
        <v>1095.8760003549367</v>
      </c>
      <c r="BK32" s="1743"/>
      <c r="BL32" s="1681"/>
      <c r="BM32" s="656" t="s">
        <v>402</v>
      </c>
      <c r="BN32" s="701">
        <f t="shared" si="6"/>
        <v>1095.8760003549367</v>
      </c>
      <c r="BO32" s="1587"/>
      <c r="BP32" s="1667"/>
      <c r="BQ32" s="24"/>
      <c r="BR32" s="702"/>
      <c r="BV32" s="718"/>
      <c r="BX32" s="24">
        <f t="shared" si="7"/>
        <v>1095.8760003549367</v>
      </c>
      <c r="BY32" s="24">
        <f t="shared" si="8"/>
        <v>0</v>
      </c>
      <c r="CA32" s="703">
        <f t="shared" si="11"/>
        <v>0</v>
      </c>
    </row>
    <row r="33" spans="1:79" ht="27.75" thickBot="1">
      <c r="A33" s="750"/>
      <c r="B33" s="751"/>
      <c r="C33" s="752"/>
      <c r="D33" s="753"/>
      <c r="E33" s="754"/>
      <c r="F33" s="753"/>
      <c r="G33" s="754"/>
      <c r="H33" s="752"/>
      <c r="I33" s="755"/>
      <c r="J33" s="1708"/>
      <c r="K33" s="756"/>
      <c r="L33" s="757"/>
      <c r="M33" s="1634"/>
      <c r="N33" s="758"/>
      <c r="O33" s="759"/>
      <c r="P33" s="1651"/>
      <c r="Q33" s="1517"/>
      <c r="R33" s="1518"/>
      <c r="S33" s="1519"/>
      <c r="T33" s="760"/>
      <c r="U33" s="761"/>
      <c r="V33" s="762"/>
      <c r="W33" s="1879"/>
      <c r="X33" s="763"/>
      <c r="Y33" s="764">
        <f>BJ33*AA31/BL31</f>
        <v>669.7703904768</v>
      </c>
      <c r="Z33" s="847">
        <f t="shared" si="17"/>
        <v>1</v>
      </c>
      <c r="AA33" s="1605"/>
      <c r="AB33" s="765"/>
      <c r="AC33" s="812"/>
      <c r="AD33" s="766"/>
      <c r="AE33" s="767"/>
      <c r="AF33" s="813"/>
      <c r="AG33" s="769"/>
      <c r="AH33" s="770"/>
      <c r="AI33" s="772"/>
      <c r="AJ33" s="772"/>
      <c r="AK33" s="773"/>
      <c r="AL33" s="774"/>
      <c r="AM33" s="775"/>
      <c r="AN33" s="776"/>
      <c r="AO33" s="833"/>
      <c r="AP33" s="778"/>
      <c r="AQ33" s="779">
        <f t="shared" si="13"/>
        <v>669.7703904768</v>
      </c>
      <c r="AR33" s="780"/>
      <c r="AS33" s="1914"/>
      <c r="AT33" s="801"/>
      <c r="AU33" s="781"/>
      <c r="AV33" s="782"/>
      <c r="AW33" s="784"/>
      <c r="AX33" s="785"/>
      <c r="AY33" s="786"/>
      <c r="AZ33" s="786"/>
      <c r="BA33" s="784"/>
      <c r="BB33" s="785"/>
      <c r="BC33" s="786"/>
      <c r="BD33" s="787"/>
      <c r="BE33" s="788"/>
      <c r="BF33" s="789"/>
      <c r="BG33" s="790"/>
      <c r="BH33" s="815"/>
      <c r="BI33" s="792"/>
      <c r="BJ33" s="793">
        <f>'[1]Nelle mise en page'!$H$29</f>
        <v>669.7703904768</v>
      </c>
      <c r="BK33" s="1744"/>
      <c r="BL33" s="1682"/>
      <c r="BM33" s="656" t="s">
        <v>402</v>
      </c>
      <c r="BN33" s="701">
        <f t="shared" si="6"/>
        <v>669.7703904768</v>
      </c>
      <c r="BO33" s="1587"/>
      <c r="BP33" s="1667"/>
      <c r="BQ33" s="24"/>
      <c r="BR33" s="702"/>
      <c r="BV33" s="718"/>
      <c r="BX33" s="24">
        <f t="shared" si="7"/>
        <v>669.7703904768</v>
      </c>
      <c r="BY33" s="24">
        <f t="shared" si="8"/>
        <v>0</v>
      </c>
      <c r="CA33" s="703">
        <f t="shared" si="11"/>
        <v>0</v>
      </c>
    </row>
    <row r="34" spans="1:79" ht="27.75" thickBot="1">
      <c r="A34" s="656" t="s">
        <v>402</v>
      </c>
      <c r="B34" s="657"/>
      <c r="C34" s="658"/>
      <c r="D34" s="659"/>
      <c r="E34" s="660"/>
      <c r="F34" s="659"/>
      <c r="G34" s="660"/>
      <c r="H34" s="658"/>
      <c r="I34" s="661"/>
      <c r="J34" s="1706"/>
      <c r="K34" s="662"/>
      <c r="L34" s="663"/>
      <c r="M34" s="1632"/>
      <c r="N34" s="664">
        <f>BJ34*$P34/$BL34</f>
        <v>2071.5318176800001</v>
      </c>
      <c r="O34" s="665">
        <f t="shared" ref="O34:O39" si="18">+N34/T34</f>
        <v>1</v>
      </c>
      <c r="P34" s="1649">
        <f>0.05/BL34</f>
        <v>0.05</v>
      </c>
      <c r="Q34" s="1511"/>
      <c r="R34" s="1512"/>
      <c r="S34" s="1513"/>
      <c r="T34" s="666">
        <f t="shared" ref="T34:T39" si="19">B34+K34+N34+Q34</f>
        <v>2071.5318176800001</v>
      </c>
      <c r="U34" s="667">
        <f t="shared" ref="U34:U39" si="20">+T34/BJ34</f>
        <v>0.05</v>
      </c>
      <c r="V34" s="668"/>
      <c r="W34" s="1879"/>
      <c r="X34" s="656" t="s">
        <v>402</v>
      </c>
      <c r="Y34" s="670">
        <f>BJ34*$AA34/$BL34</f>
        <v>33475.9541737088</v>
      </c>
      <c r="Z34" s="671">
        <f t="shared" si="17"/>
        <v>0.85052631578947369</v>
      </c>
      <c r="AA34" s="1603">
        <f>0.808/BL34</f>
        <v>0.80800000000000005</v>
      </c>
      <c r="AB34" s="673"/>
      <c r="AC34" s="816"/>
      <c r="AD34" s="674"/>
      <c r="AE34" s="675">
        <f>BJ34*$AG34/$BL34</f>
        <v>5883.1503622111995</v>
      </c>
      <c r="AF34" s="855">
        <f>+AE34/AQ34</f>
        <v>0.14947368421052631</v>
      </c>
      <c r="AG34" s="676">
        <f>0.142/BL34</f>
        <v>0.14199999999999999</v>
      </c>
      <c r="AH34" s="677"/>
      <c r="AI34" s="679"/>
      <c r="AJ34" s="679"/>
      <c r="AK34" s="680"/>
      <c r="AL34" s="857"/>
      <c r="AM34" s="858"/>
      <c r="AN34" s="683">
        <f>BJ34*$AP34/$BL34</f>
        <v>0</v>
      </c>
      <c r="AO34" s="859"/>
      <c r="AP34" s="860"/>
      <c r="AQ34" s="686">
        <f t="shared" si="13"/>
        <v>39359.10453592</v>
      </c>
      <c r="AR34" s="687">
        <f>AA34+AD34+AG34+AJ34+AM34</f>
        <v>0.95000000000000007</v>
      </c>
      <c r="AS34" s="1914"/>
      <c r="AT34" s="801" t="str">
        <f>BM34</f>
        <v>XX</v>
      </c>
      <c r="AU34" s="689"/>
      <c r="AV34" s="802"/>
      <c r="AW34" s="691"/>
      <c r="AX34" s="692"/>
      <c r="AY34" s="693"/>
      <c r="AZ34" s="693"/>
      <c r="BA34" s="691"/>
      <c r="BB34" s="692"/>
      <c r="BC34" s="693"/>
      <c r="BD34" s="694">
        <f>BJ34*$BF34/$BL34</f>
        <v>0</v>
      </c>
      <c r="BE34" s="695">
        <f>BF34/BL34</f>
        <v>0</v>
      </c>
      <c r="BF34" s="696">
        <v>0</v>
      </c>
      <c r="BG34" s="697">
        <f>BD34+BA34+AW34+AU34</f>
        <v>0</v>
      </c>
      <c r="BH34" s="803"/>
      <c r="BI34" s="699">
        <f>BF34+BC34+AY34+AV34</f>
        <v>0</v>
      </c>
      <c r="BJ34" s="700">
        <f>'[1]Nelle mise en page'!$N$37</f>
        <v>41430.636353599999</v>
      </c>
      <c r="BK34" s="1742" t="e">
        <f>BH34+#REF!+U34</f>
        <v>#REF!</v>
      </c>
      <c r="BL34" s="1680">
        <v>1</v>
      </c>
      <c r="BM34" s="656" t="s">
        <v>402</v>
      </c>
      <c r="BN34" s="701">
        <f t="shared" si="6"/>
        <v>41430.636353599999</v>
      </c>
      <c r="BO34" s="1587"/>
      <c r="BP34" s="1667">
        <f>D34+M34+P34+S34+AA34+AD34+AG34+AJ34+AV34+BC34+BF34</f>
        <v>1</v>
      </c>
      <c r="BQ34" s="24">
        <f>BD34+BA34+AW34+AU34+AN34+AK34+AH34+AE34+AB34+Y34+Q34+N34+K34+G34</f>
        <v>41430.636353599999</v>
      </c>
      <c r="BR34" s="702">
        <f>BJ34-BQ34</f>
        <v>0</v>
      </c>
      <c r="BV34" s="718" t="s">
        <v>35</v>
      </c>
      <c r="BX34" s="24">
        <f t="shared" si="7"/>
        <v>41430.636353599999</v>
      </c>
      <c r="BY34" s="24">
        <f t="shared" si="8"/>
        <v>0</v>
      </c>
      <c r="CA34" s="703">
        <f t="shared" si="11"/>
        <v>0</v>
      </c>
    </row>
    <row r="35" spans="1:79" ht="27.75" thickBot="1">
      <c r="A35" s="704"/>
      <c r="B35" s="705"/>
      <c r="C35" s="706"/>
      <c r="D35" s="707"/>
      <c r="E35" s="708"/>
      <c r="F35" s="707"/>
      <c r="G35" s="708"/>
      <c r="H35" s="709"/>
      <c r="I35" s="710"/>
      <c r="J35" s="1707"/>
      <c r="K35" s="711"/>
      <c r="L35" s="712"/>
      <c r="M35" s="1633"/>
      <c r="N35" s="713">
        <f>BJ35*P34</f>
        <v>74.3235945387501</v>
      </c>
      <c r="O35" s="714">
        <f t="shared" si="18"/>
        <v>1</v>
      </c>
      <c r="P35" s="1650"/>
      <c r="Q35" s="1514"/>
      <c r="R35" s="1515"/>
      <c r="S35" s="1516"/>
      <c r="T35" s="715">
        <f t="shared" si="19"/>
        <v>74.3235945387501</v>
      </c>
      <c r="U35" s="716">
        <f t="shared" si="20"/>
        <v>4.9999999999999996E-2</v>
      </c>
      <c r="V35" s="717"/>
      <c r="W35" s="1879"/>
      <c r="X35" s="718"/>
      <c r="Y35" s="719">
        <f>BJ35*Z34</f>
        <v>1264.2834607854754</v>
      </c>
      <c r="Z35" s="842">
        <f t="shared" si="17"/>
        <v>0.85052631578947369</v>
      </c>
      <c r="AA35" s="1604"/>
      <c r="AB35" s="720"/>
      <c r="AC35" s="805"/>
      <c r="AD35" s="722"/>
      <c r="AE35" s="723">
        <f>BJ35*AF34</f>
        <v>222.18842998952661</v>
      </c>
      <c r="AF35" s="1810">
        <f>+AE35/AQ35</f>
        <v>0.14947368421052631</v>
      </c>
      <c r="AG35" s="725"/>
      <c r="AH35" s="726"/>
      <c r="AI35" s="728"/>
      <c r="AJ35" s="728"/>
      <c r="AK35" s="729"/>
      <c r="AL35" s="865"/>
      <c r="AM35" s="866"/>
      <c r="AN35" s="732"/>
      <c r="AO35" s="867"/>
      <c r="AP35" s="868"/>
      <c r="AQ35" s="735">
        <f t="shared" si="13"/>
        <v>1486.4718907750021</v>
      </c>
      <c r="AR35" s="736"/>
      <c r="AS35" s="1914"/>
      <c r="AT35" s="801"/>
      <c r="AU35" s="737"/>
      <c r="AV35" s="808"/>
      <c r="AW35" s="739"/>
      <c r="AX35" s="740"/>
      <c r="AY35" s="741"/>
      <c r="AZ35" s="741"/>
      <c r="BA35" s="739"/>
      <c r="BB35" s="740"/>
      <c r="BC35" s="741"/>
      <c r="BD35" s="742">
        <f>BJ35*BE34</f>
        <v>0</v>
      </c>
      <c r="BE35" s="809"/>
      <c r="BF35" s="744"/>
      <c r="BG35" s="745">
        <f>BD35+BA35+AW35+AU35</f>
        <v>0</v>
      </c>
      <c r="BH35" s="810"/>
      <c r="BI35" s="747"/>
      <c r="BJ35" s="748">
        <f>'[1]Nelle mise en page'!$N$32</f>
        <v>1486.4718907750021</v>
      </c>
      <c r="BK35" s="1743"/>
      <c r="BL35" s="1681"/>
      <c r="BM35" s="656" t="s">
        <v>402</v>
      </c>
      <c r="BN35" s="701">
        <f t="shared" si="6"/>
        <v>1560.7954853137521</v>
      </c>
      <c r="BO35" s="1587"/>
      <c r="BP35" s="1667"/>
      <c r="BQ35" s="24"/>
      <c r="BR35" s="702"/>
      <c r="BV35" s="718"/>
      <c r="BX35" s="24">
        <f t="shared" si="7"/>
        <v>1560.7954853137521</v>
      </c>
      <c r="BY35" s="24">
        <f t="shared" si="8"/>
        <v>-74.323594538750058</v>
      </c>
      <c r="CA35" s="703">
        <f t="shared" si="11"/>
        <v>0</v>
      </c>
    </row>
    <row r="36" spans="1:79" ht="27.75" thickBot="1">
      <c r="A36" s="750"/>
      <c r="B36" s="751"/>
      <c r="C36" s="752"/>
      <c r="D36" s="753"/>
      <c r="E36" s="754"/>
      <c r="F36" s="753"/>
      <c r="G36" s="754"/>
      <c r="H36" s="752"/>
      <c r="I36" s="755"/>
      <c r="J36" s="1708"/>
      <c r="K36" s="756"/>
      <c r="L36" s="757"/>
      <c r="M36" s="1634"/>
      <c r="N36" s="758">
        <f>BJ36*P34</f>
        <v>39.451860000000003</v>
      </c>
      <c r="O36" s="759">
        <f t="shared" si="18"/>
        <v>1</v>
      </c>
      <c r="P36" s="1651"/>
      <c r="Q36" s="1517"/>
      <c r="R36" s="1518"/>
      <c r="S36" s="1519"/>
      <c r="T36" s="760">
        <f t="shared" si="19"/>
        <v>39.451860000000003</v>
      </c>
      <c r="U36" s="761">
        <f t="shared" si="20"/>
        <v>0.05</v>
      </c>
      <c r="V36" s="762"/>
      <c r="W36" s="1879"/>
      <c r="X36" s="763"/>
      <c r="Y36" s="764">
        <f>BJ36*Z34</f>
        <v>671.09690273684214</v>
      </c>
      <c r="Z36" s="847">
        <f t="shared" si="17"/>
        <v>0.8505263157894738</v>
      </c>
      <c r="AA36" s="1605"/>
      <c r="AB36" s="765"/>
      <c r="AC36" s="812"/>
      <c r="AD36" s="766"/>
      <c r="AE36" s="767">
        <f>BJ36*AF34</f>
        <v>117.94029726315789</v>
      </c>
      <c r="AF36" s="1811">
        <f>+AE36/AQ36</f>
        <v>0.14947368421052631</v>
      </c>
      <c r="AG36" s="769"/>
      <c r="AH36" s="770"/>
      <c r="AI36" s="772"/>
      <c r="AJ36" s="772"/>
      <c r="AK36" s="773"/>
      <c r="AL36" s="873"/>
      <c r="AM36" s="874"/>
      <c r="AN36" s="776"/>
      <c r="AO36" s="875"/>
      <c r="AP36" s="876"/>
      <c r="AQ36" s="779">
        <f t="shared" si="13"/>
        <v>789.03719999999998</v>
      </c>
      <c r="AR36" s="780"/>
      <c r="AS36" s="1914"/>
      <c r="AT36" s="801"/>
      <c r="AU36" s="781"/>
      <c r="AV36" s="782"/>
      <c r="AW36" s="784"/>
      <c r="AX36" s="785"/>
      <c r="AY36" s="786"/>
      <c r="AZ36" s="786"/>
      <c r="BA36" s="784"/>
      <c r="BB36" s="785"/>
      <c r="BC36" s="786"/>
      <c r="BD36" s="787">
        <f>BJ36*BE34</f>
        <v>0</v>
      </c>
      <c r="BE36" s="788"/>
      <c r="BF36" s="789"/>
      <c r="BG36" s="790">
        <f>BD36+BA36+AW36+AU36</f>
        <v>0</v>
      </c>
      <c r="BH36" s="815"/>
      <c r="BI36" s="792"/>
      <c r="BJ36" s="793">
        <f>'[1]Nelle mise en page'!$N$29</f>
        <v>789.03719999999998</v>
      </c>
      <c r="BK36" s="1744"/>
      <c r="BL36" s="1682"/>
      <c r="BM36" s="656" t="s">
        <v>402</v>
      </c>
      <c r="BN36" s="701">
        <f t="shared" si="6"/>
        <v>828.48905999999999</v>
      </c>
      <c r="BO36" s="1587"/>
      <c r="BP36" s="1667"/>
      <c r="BQ36" s="24"/>
      <c r="BR36" s="702"/>
      <c r="BV36" s="718"/>
      <c r="BX36" s="24">
        <f t="shared" si="7"/>
        <v>828.48905999999999</v>
      </c>
      <c r="BY36" s="24">
        <f t="shared" si="8"/>
        <v>-39.451860000000011</v>
      </c>
      <c r="CA36" s="703">
        <f t="shared" si="11"/>
        <v>0</v>
      </c>
    </row>
    <row r="37" spans="1:79" ht="27.75" thickBot="1">
      <c r="A37" s="656" t="s">
        <v>402</v>
      </c>
      <c r="B37" s="657"/>
      <c r="C37" s="658"/>
      <c r="D37" s="659"/>
      <c r="E37" s="660"/>
      <c r="F37" s="659"/>
      <c r="G37" s="660"/>
      <c r="H37" s="658"/>
      <c r="I37" s="661"/>
      <c r="J37" s="1706"/>
      <c r="K37" s="662"/>
      <c r="L37" s="663"/>
      <c r="M37" s="1632"/>
      <c r="N37" s="664">
        <f>BJ37*$P37/$BL37</f>
        <v>6331.3720559567982</v>
      </c>
      <c r="O37" s="665">
        <f t="shared" si="18"/>
        <v>1</v>
      </c>
      <c r="P37" s="1649">
        <f>0.153/BL37</f>
        <v>0.153</v>
      </c>
      <c r="Q37" s="1511"/>
      <c r="R37" s="1512"/>
      <c r="S37" s="1513"/>
      <c r="T37" s="666">
        <f t="shared" si="19"/>
        <v>6331.3720559567982</v>
      </c>
      <c r="U37" s="667">
        <f t="shared" si="20"/>
        <v>0.153</v>
      </c>
      <c r="V37" s="668"/>
      <c r="W37" s="1879"/>
      <c r="X37" s="656" t="s">
        <v>402</v>
      </c>
      <c r="Y37" s="670">
        <f>BJ37*$AA37/$BL37</f>
        <v>35050.144649643189</v>
      </c>
      <c r="Z37" s="1806">
        <f t="shared" si="17"/>
        <v>1</v>
      </c>
      <c r="AA37" s="1603">
        <f>0.847/BL37</f>
        <v>0.84699999999999998</v>
      </c>
      <c r="AB37" s="673"/>
      <c r="AC37" s="816"/>
      <c r="AD37" s="674"/>
      <c r="AE37" s="675"/>
      <c r="AF37" s="855"/>
      <c r="AG37" s="676"/>
      <c r="AH37" s="677">
        <f>BJ37*$AJ37/$BL37</f>
        <v>0</v>
      </c>
      <c r="AI37" s="679"/>
      <c r="AJ37" s="679"/>
      <c r="AK37" s="680">
        <f>BJ37*$AM37/$BL37</f>
        <v>0</v>
      </c>
      <c r="AL37" s="857">
        <v>5.3999999999999999E-2</v>
      </c>
      <c r="AM37" s="858"/>
      <c r="AN37" s="683">
        <f>BJ37*$AP37/$BL37</f>
        <v>0</v>
      </c>
      <c r="AO37" s="859"/>
      <c r="AP37" s="860"/>
      <c r="AQ37" s="686">
        <f t="shared" si="13"/>
        <v>35050.144649643189</v>
      </c>
      <c r="AR37" s="687">
        <f>AA37+AD37+AG37+AJ37+AM37</f>
        <v>0.84699999999999998</v>
      </c>
      <c r="AS37" s="1914"/>
      <c r="AT37" s="801" t="str">
        <f>BM37</f>
        <v>XX</v>
      </c>
      <c r="AU37" s="689"/>
      <c r="AV37" s="802"/>
      <c r="AW37" s="691"/>
      <c r="AX37" s="692"/>
      <c r="AY37" s="693"/>
      <c r="AZ37" s="693"/>
      <c r="BA37" s="691"/>
      <c r="BB37" s="692"/>
      <c r="BC37" s="693"/>
      <c r="BD37" s="694"/>
      <c r="BE37" s="695"/>
      <c r="BF37" s="696"/>
      <c r="BG37" s="697"/>
      <c r="BH37" s="803"/>
      <c r="BI37" s="699"/>
      <c r="BJ37" s="700">
        <f>'[1]Nelle mise en page'!$O$37</f>
        <v>41381.516705599992</v>
      </c>
      <c r="BK37" s="1742" t="e">
        <f>BH37+#REF!+U37</f>
        <v>#REF!</v>
      </c>
      <c r="BL37" s="1680">
        <v>1</v>
      </c>
      <c r="BM37" s="656" t="s">
        <v>402</v>
      </c>
      <c r="BN37" s="701">
        <f t="shared" si="6"/>
        <v>41381.516705599985</v>
      </c>
      <c r="BO37" s="1587"/>
      <c r="BP37" s="1667">
        <f>D37+M37+P37+S37+AA37+AD37+AG37+AJ37+AV37+BC37+BF37</f>
        <v>1</v>
      </c>
      <c r="BQ37" s="24">
        <f>BD37+BA37+AW37+AU37+AN37+AK37+AH37+AE37+AB37+Y37+Q37+N37+K37+G37</f>
        <v>41381.516705599985</v>
      </c>
      <c r="BR37" s="702">
        <f>BJ37-BQ37</f>
        <v>0</v>
      </c>
      <c r="BV37" s="718" t="s">
        <v>36</v>
      </c>
      <c r="BX37" s="24">
        <f t="shared" si="7"/>
        <v>41381.516705599985</v>
      </c>
      <c r="BY37" s="24">
        <f t="shared" si="8"/>
        <v>0</v>
      </c>
      <c r="CA37" s="703">
        <f t="shared" si="11"/>
        <v>0</v>
      </c>
    </row>
    <row r="38" spans="1:79" ht="27.75" thickBot="1">
      <c r="A38" s="704"/>
      <c r="B38" s="705"/>
      <c r="C38" s="706"/>
      <c r="D38" s="707"/>
      <c r="E38" s="708"/>
      <c r="F38" s="707"/>
      <c r="G38" s="708"/>
      <c r="H38" s="709"/>
      <c r="I38" s="710"/>
      <c r="J38" s="1707"/>
      <c r="K38" s="711"/>
      <c r="L38" s="712"/>
      <c r="M38" s="1633"/>
      <c r="N38" s="713">
        <f>BJ38*P37</f>
        <v>234.8981634643543</v>
      </c>
      <c r="O38" s="714">
        <f t="shared" si="18"/>
        <v>1</v>
      </c>
      <c r="P38" s="1650"/>
      <c r="Q38" s="1514"/>
      <c r="R38" s="1515"/>
      <c r="S38" s="1516"/>
      <c r="T38" s="715">
        <f t="shared" si="19"/>
        <v>234.8981634643543</v>
      </c>
      <c r="U38" s="716">
        <f t="shared" si="20"/>
        <v>0.153</v>
      </c>
      <c r="V38" s="717"/>
      <c r="W38" s="1879"/>
      <c r="X38" s="718"/>
      <c r="Y38" s="719">
        <f>BJ38*Z37</f>
        <v>1535.2821141461066</v>
      </c>
      <c r="Z38" s="842">
        <f t="shared" si="17"/>
        <v>1</v>
      </c>
      <c r="AA38" s="1604"/>
      <c r="AB38" s="720"/>
      <c r="AC38" s="805"/>
      <c r="AD38" s="722"/>
      <c r="AE38" s="723"/>
      <c r="AF38" s="881"/>
      <c r="AG38" s="725"/>
      <c r="AH38" s="726"/>
      <c r="AI38" s="728"/>
      <c r="AJ38" s="728"/>
      <c r="AK38" s="729"/>
      <c r="AL38" s="865"/>
      <c r="AM38" s="866"/>
      <c r="AN38" s="732"/>
      <c r="AO38" s="867"/>
      <c r="AP38" s="868"/>
      <c r="AQ38" s="735">
        <f t="shared" si="13"/>
        <v>1535.2821141461066</v>
      </c>
      <c r="AR38" s="736"/>
      <c r="AS38" s="1914"/>
      <c r="AT38" s="801"/>
      <c r="AU38" s="737"/>
      <c r="AV38" s="808"/>
      <c r="AW38" s="739"/>
      <c r="AX38" s="740"/>
      <c r="AY38" s="741"/>
      <c r="AZ38" s="741"/>
      <c r="BA38" s="739"/>
      <c r="BB38" s="740"/>
      <c r="BC38" s="741"/>
      <c r="BD38" s="742"/>
      <c r="BE38" s="809"/>
      <c r="BF38" s="744"/>
      <c r="BG38" s="745"/>
      <c r="BH38" s="810"/>
      <c r="BI38" s="747"/>
      <c r="BJ38" s="748">
        <f>'[1]Nelle mise en page'!$O$32</f>
        <v>1535.2821141461066</v>
      </c>
      <c r="BK38" s="1743"/>
      <c r="BL38" s="1681"/>
      <c r="BM38" s="656" t="s">
        <v>402</v>
      </c>
      <c r="BN38" s="701">
        <f t="shared" si="6"/>
        <v>1770.180277610461</v>
      </c>
      <c r="BO38" s="1587"/>
      <c r="BP38" s="1667"/>
      <c r="BQ38" s="24"/>
      <c r="BR38" s="702"/>
      <c r="BV38" s="718"/>
      <c r="BX38" s="24">
        <f t="shared" si="7"/>
        <v>1770.180277610461</v>
      </c>
      <c r="BY38" s="24">
        <f t="shared" si="8"/>
        <v>-234.89816346435441</v>
      </c>
      <c r="CA38" s="703">
        <f t="shared" si="11"/>
        <v>0</v>
      </c>
    </row>
    <row r="39" spans="1:79" ht="27.75" thickBot="1">
      <c r="A39" s="750"/>
      <c r="B39" s="751"/>
      <c r="C39" s="752"/>
      <c r="D39" s="753"/>
      <c r="E39" s="754"/>
      <c r="F39" s="753"/>
      <c r="G39" s="754"/>
      <c r="H39" s="752"/>
      <c r="I39" s="755"/>
      <c r="J39" s="1708"/>
      <c r="K39" s="756"/>
      <c r="L39" s="757"/>
      <c r="M39" s="1634"/>
      <c r="N39" s="758">
        <f>BJ39*P37</f>
        <v>123.00300359999997</v>
      </c>
      <c r="O39" s="759">
        <f t="shared" si="18"/>
        <v>1</v>
      </c>
      <c r="P39" s="1651"/>
      <c r="Q39" s="1517"/>
      <c r="R39" s="1518"/>
      <c r="S39" s="1519"/>
      <c r="T39" s="760">
        <f t="shared" si="19"/>
        <v>123.00300359999997</v>
      </c>
      <c r="U39" s="761">
        <f t="shared" si="20"/>
        <v>0.153</v>
      </c>
      <c r="V39" s="762"/>
      <c r="W39" s="1879"/>
      <c r="X39" s="763"/>
      <c r="Y39" s="764">
        <f>BJ39*Z37</f>
        <v>803.94119999999987</v>
      </c>
      <c r="Z39" s="847">
        <f t="shared" si="17"/>
        <v>1</v>
      </c>
      <c r="AA39" s="1605"/>
      <c r="AB39" s="765"/>
      <c r="AC39" s="812"/>
      <c r="AD39" s="766"/>
      <c r="AE39" s="767"/>
      <c r="AF39" s="884"/>
      <c r="AG39" s="769"/>
      <c r="AH39" s="770"/>
      <c r="AI39" s="772"/>
      <c r="AJ39" s="772"/>
      <c r="AK39" s="773"/>
      <c r="AL39" s="873"/>
      <c r="AM39" s="874"/>
      <c r="AN39" s="776"/>
      <c r="AO39" s="875"/>
      <c r="AP39" s="876"/>
      <c r="AQ39" s="779">
        <f t="shared" si="13"/>
        <v>803.94119999999987</v>
      </c>
      <c r="AR39" s="780"/>
      <c r="AS39" s="1914"/>
      <c r="AT39" s="801"/>
      <c r="AU39" s="781"/>
      <c r="AV39" s="782"/>
      <c r="AW39" s="784"/>
      <c r="AX39" s="785"/>
      <c r="AY39" s="786"/>
      <c r="AZ39" s="786"/>
      <c r="BA39" s="784"/>
      <c r="BB39" s="785"/>
      <c r="BC39" s="786"/>
      <c r="BD39" s="787"/>
      <c r="BE39" s="788"/>
      <c r="BF39" s="789"/>
      <c r="BG39" s="790"/>
      <c r="BH39" s="815"/>
      <c r="BI39" s="792"/>
      <c r="BJ39" s="793">
        <f>'[1]Nelle mise en page'!$O$29</f>
        <v>803.94119999999987</v>
      </c>
      <c r="BK39" s="1744"/>
      <c r="BL39" s="1682"/>
      <c r="BM39" s="656" t="s">
        <v>402</v>
      </c>
      <c r="BN39" s="701">
        <f t="shared" ref="BN39:BN60" si="21">BG39+AQ39+T39</f>
        <v>926.94420359999981</v>
      </c>
      <c r="BO39" s="1587"/>
      <c r="BP39" s="1667"/>
      <c r="BQ39" s="24"/>
      <c r="BR39" s="702"/>
      <c r="BV39" s="718"/>
      <c r="BX39" s="24">
        <f t="shared" ref="BX39:BX70" si="22">B39+K39+N39+Q39+Y39+AB39+AE39+AH39+AU39+BA39+BD39</f>
        <v>926.94420359999981</v>
      </c>
      <c r="BY39" s="24">
        <f t="shared" si="8"/>
        <v>-123.00300359999994</v>
      </c>
      <c r="CA39" s="703">
        <f t="shared" si="11"/>
        <v>0</v>
      </c>
    </row>
    <row r="40" spans="1:79" ht="27.75" thickBot="1">
      <c r="A40" s="656" t="s">
        <v>402</v>
      </c>
      <c r="B40" s="657"/>
      <c r="C40" s="658"/>
      <c r="D40" s="659"/>
      <c r="E40" s="660"/>
      <c r="F40" s="659"/>
      <c r="G40" s="660"/>
      <c r="H40" s="658"/>
      <c r="I40" s="661"/>
      <c r="J40" s="1706"/>
      <c r="K40" s="662"/>
      <c r="L40" s="663"/>
      <c r="M40" s="1632"/>
      <c r="N40" s="664"/>
      <c r="O40" s="665"/>
      <c r="P40" s="1649"/>
      <c r="Q40" s="1511"/>
      <c r="R40" s="1512"/>
      <c r="S40" s="1513"/>
      <c r="T40" s="666"/>
      <c r="U40" s="667"/>
      <c r="V40" s="668"/>
      <c r="W40" s="1879"/>
      <c r="X40" s="656" t="s">
        <v>402</v>
      </c>
      <c r="Y40" s="670">
        <f>BJ40*$AA40/$BL40</f>
        <v>32776.885112846394</v>
      </c>
      <c r="Z40" s="1806">
        <f t="shared" si="17"/>
        <v>0.97</v>
      </c>
      <c r="AA40" s="1603">
        <f>0.97/BL40</f>
        <v>0.97</v>
      </c>
      <c r="AB40" s="673"/>
      <c r="AC40" s="816"/>
      <c r="AD40" s="674"/>
      <c r="AE40" s="675">
        <f>BJ40*$AG40/$BL40</f>
        <v>1013.7180962735998</v>
      </c>
      <c r="AF40" s="877">
        <f>AG40/BL40</f>
        <v>0.03</v>
      </c>
      <c r="AG40" s="855">
        <f>0.03/BL40</f>
        <v>0.03</v>
      </c>
      <c r="AH40" s="677"/>
      <c r="AI40" s="679"/>
      <c r="AJ40" s="679"/>
      <c r="AK40" s="680"/>
      <c r="AL40" s="857"/>
      <c r="AM40" s="858"/>
      <c r="AN40" s="683">
        <f>BJ40*$AP40/$BL40</f>
        <v>0</v>
      </c>
      <c r="AO40" s="859"/>
      <c r="AP40" s="860"/>
      <c r="AQ40" s="686">
        <f t="shared" si="13"/>
        <v>33790.603209119996</v>
      </c>
      <c r="AR40" s="687">
        <f>AA40+AD40+AG40+AJ40+AM40</f>
        <v>1</v>
      </c>
      <c r="AS40" s="1914"/>
      <c r="AT40" s="801" t="str">
        <f>BM40</f>
        <v>XX</v>
      </c>
      <c r="AU40" s="689"/>
      <c r="AV40" s="802"/>
      <c r="AW40" s="691"/>
      <c r="AX40" s="692"/>
      <c r="AY40" s="693"/>
      <c r="AZ40" s="693"/>
      <c r="BA40" s="691"/>
      <c r="BB40" s="692"/>
      <c r="BC40" s="693"/>
      <c r="BD40" s="694"/>
      <c r="BE40" s="695"/>
      <c r="BF40" s="696"/>
      <c r="BG40" s="697"/>
      <c r="BH40" s="803"/>
      <c r="BI40" s="699"/>
      <c r="BJ40" s="700">
        <f>'[1]Nelle mise en page'!$D$37</f>
        <v>33790.603209119996</v>
      </c>
      <c r="BK40" s="1742" t="e">
        <f>BH40+#REF!+U40</f>
        <v>#REF!</v>
      </c>
      <c r="BL40" s="1680">
        <v>1</v>
      </c>
      <c r="BM40" s="656" t="s">
        <v>402</v>
      </c>
      <c r="BN40" s="701">
        <f t="shared" si="21"/>
        <v>33790.603209119996</v>
      </c>
      <c r="BO40" s="1587"/>
      <c r="BP40" s="1667">
        <f>D40+M40+P40+S40+AA40+AD40+AG40+AJ40+AV40+BC40+BF40</f>
        <v>1</v>
      </c>
      <c r="BQ40" s="24">
        <f>BD40+BA40+AW40+AU40+AN40+AK40+AH40+AE40+AB40+Y40+Q40+N40+K40+G40</f>
        <v>33790.603209119996</v>
      </c>
      <c r="BR40" s="702">
        <f>BJ40-BQ40</f>
        <v>0</v>
      </c>
      <c r="BV40" s="718" t="s">
        <v>37</v>
      </c>
      <c r="BX40" s="24">
        <f t="shared" si="22"/>
        <v>33790.603209119996</v>
      </c>
      <c r="BY40" s="24">
        <f t="shared" si="8"/>
        <v>0</v>
      </c>
      <c r="CA40" s="703">
        <f t="shared" si="11"/>
        <v>0</v>
      </c>
    </row>
    <row r="41" spans="1:79" ht="27.75" thickBot="1">
      <c r="A41" s="704"/>
      <c r="B41" s="705"/>
      <c r="C41" s="706"/>
      <c r="D41" s="707"/>
      <c r="E41" s="708"/>
      <c r="F41" s="707"/>
      <c r="G41" s="708"/>
      <c r="H41" s="709"/>
      <c r="I41" s="710"/>
      <c r="J41" s="1707"/>
      <c r="K41" s="711"/>
      <c r="L41" s="712"/>
      <c r="M41" s="1633"/>
      <c r="N41" s="713"/>
      <c r="O41" s="714"/>
      <c r="P41" s="1650"/>
      <c r="Q41" s="1514"/>
      <c r="R41" s="1515"/>
      <c r="S41" s="1516"/>
      <c r="T41" s="715"/>
      <c r="U41" s="716"/>
      <c r="V41" s="717"/>
      <c r="W41" s="1879"/>
      <c r="X41" s="718"/>
      <c r="Y41" s="719">
        <f>BJ41*Z40</f>
        <v>1072.579584025978</v>
      </c>
      <c r="Z41" s="842">
        <f t="shared" si="17"/>
        <v>0.97</v>
      </c>
      <c r="AA41" s="1604"/>
      <c r="AB41" s="720"/>
      <c r="AC41" s="805"/>
      <c r="AD41" s="722"/>
      <c r="AE41" s="723">
        <f>BJ41*AF40</f>
        <v>33.172564454411692</v>
      </c>
      <c r="AF41" s="1810">
        <f>+AE41/AQ41</f>
        <v>3.0000000000000002E-2</v>
      </c>
      <c r="AG41" s="863"/>
      <c r="AH41" s="726"/>
      <c r="AI41" s="728"/>
      <c r="AJ41" s="728"/>
      <c r="AK41" s="729"/>
      <c r="AL41" s="865"/>
      <c r="AM41" s="866"/>
      <c r="AN41" s="732"/>
      <c r="AO41" s="867"/>
      <c r="AP41" s="868"/>
      <c r="AQ41" s="735">
        <f t="shared" si="13"/>
        <v>1105.7521484803897</v>
      </c>
      <c r="AR41" s="736"/>
      <c r="AS41" s="1914"/>
      <c r="AT41" s="801"/>
      <c r="AU41" s="737"/>
      <c r="AV41" s="808"/>
      <c r="AW41" s="739"/>
      <c r="AX41" s="740"/>
      <c r="AY41" s="741"/>
      <c r="AZ41" s="741"/>
      <c r="BA41" s="739"/>
      <c r="BB41" s="740"/>
      <c r="BC41" s="741"/>
      <c r="BD41" s="742"/>
      <c r="BE41" s="809"/>
      <c r="BF41" s="744"/>
      <c r="BG41" s="745"/>
      <c r="BH41" s="810"/>
      <c r="BI41" s="747"/>
      <c r="BJ41" s="748">
        <f>'[1]Nelle mise en page'!$D$32</f>
        <v>1105.7521484803897</v>
      </c>
      <c r="BK41" s="1743"/>
      <c r="BL41" s="1681"/>
      <c r="BM41" s="656" t="s">
        <v>402</v>
      </c>
      <c r="BN41" s="701">
        <f t="shared" si="21"/>
        <v>1105.7521484803897</v>
      </c>
      <c r="BO41" s="1587"/>
      <c r="BP41" s="1667"/>
      <c r="BQ41" s="24"/>
      <c r="BR41" s="702"/>
      <c r="BV41" s="718"/>
      <c r="BX41" s="24">
        <f t="shared" si="22"/>
        <v>1105.7521484803897</v>
      </c>
      <c r="BY41" s="24">
        <f t="shared" si="8"/>
        <v>0</v>
      </c>
      <c r="CA41" s="703">
        <f t="shared" si="11"/>
        <v>0</v>
      </c>
    </row>
    <row r="42" spans="1:79" ht="27.75" thickBot="1">
      <c r="A42" s="750"/>
      <c r="B42" s="751"/>
      <c r="C42" s="752"/>
      <c r="D42" s="753"/>
      <c r="E42" s="754"/>
      <c r="F42" s="753"/>
      <c r="G42" s="754"/>
      <c r="H42" s="752"/>
      <c r="I42" s="755"/>
      <c r="J42" s="1708"/>
      <c r="K42" s="756"/>
      <c r="L42" s="757"/>
      <c r="M42" s="1634"/>
      <c r="N42" s="758"/>
      <c r="O42" s="759"/>
      <c r="P42" s="1651"/>
      <c r="Q42" s="1517"/>
      <c r="R42" s="1518"/>
      <c r="S42" s="1519"/>
      <c r="T42" s="760"/>
      <c r="U42" s="761"/>
      <c r="V42" s="762"/>
      <c r="W42" s="1879"/>
      <c r="X42" s="763"/>
      <c r="Y42" s="764">
        <f>BJ42*Z40</f>
        <v>652.60241999999994</v>
      </c>
      <c r="Z42" s="847">
        <f t="shared" si="17"/>
        <v>0.97</v>
      </c>
      <c r="AA42" s="1605"/>
      <c r="AB42" s="765"/>
      <c r="AC42" s="812"/>
      <c r="AD42" s="766"/>
      <c r="AE42" s="767">
        <f>BJ42*AF40</f>
        <v>20.183579999999999</v>
      </c>
      <c r="AF42" s="1811">
        <f>+AE42/AQ42</f>
        <v>3.0000000000000002E-2</v>
      </c>
      <c r="AG42" s="871"/>
      <c r="AH42" s="770"/>
      <c r="AI42" s="772"/>
      <c r="AJ42" s="772"/>
      <c r="AK42" s="773"/>
      <c r="AL42" s="873"/>
      <c r="AM42" s="874"/>
      <c r="AN42" s="776"/>
      <c r="AO42" s="875"/>
      <c r="AP42" s="876"/>
      <c r="AQ42" s="779">
        <f t="shared" si="13"/>
        <v>672.78599999999994</v>
      </c>
      <c r="AR42" s="780"/>
      <c r="AS42" s="1914"/>
      <c r="AT42" s="801"/>
      <c r="AU42" s="781"/>
      <c r="AV42" s="782"/>
      <c r="AW42" s="784"/>
      <c r="AX42" s="785"/>
      <c r="AY42" s="786"/>
      <c r="AZ42" s="786"/>
      <c r="BA42" s="784"/>
      <c r="BB42" s="785"/>
      <c r="BC42" s="786"/>
      <c r="BD42" s="787"/>
      <c r="BE42" s="788"/>
      <c r="BF42" s="789"/>
      <c r="BG42" s="790"/>
      <c r="BH42" s="815"/>
      <c r="BI42" s="792"/>
      <c r="BJ42" s="793">
        <f>'[1]Nelle mise en page'!$D$29</f>
        <v>672.78599999999994</v>
      </c>
      <c r="BK42" s="1744"/>
      <c r="BL42" s="1682"/>
      <c r="BM42" s="656" t="s">
        <v>402</v>
      </c>
      <c r="BN42" s="701">
        <f t="shared" si="21"/>
        <v>672.78599999999994</v>
      </c>
      <c r="BO42" s="1587"/>
      <c r="BP42" s="1667"/>
      <c r="BQ42" s="24"/>
      <c r="BR42" s="702"/>
      <c r="BV42" s="718"/>
      <c r="BX42" s="24">
        <f t="shared" si="22"/>
        <v>672.78599999999994</v>
      </c>
      <c r="BY42" s="24">
        <f t="shared" ref="BY42:BY60" si="23">BJ42-BX42</f>
        <v>0</v>
      </c>
      <c r="CA42" s="703">
        <f t="shared" ref="CA42:CA60" si="24">BP42-BL42</f>
        <v>0</v>
      </c>
    </row>
    <row r="43" spans="1:79" ht="27.75" thickBot="1">
      <c r="A43" s="656" t="s">
        <v>402</v>
      </c>
      <c r="B43" s="657"/>
      <c r="C43" s="658"/>
      <c r="D43" s="659"/>
      <c r="E43" s="660"/>
      <c r="F43" s="659"/>
      <c r="G43" s="660"/>
      <c r="H43" s="658"/>
      <c r="I43" s="661"/>
      <c r="J43" s="1706"/>
      <c r="K43" s="662"/>
      <c r="L43" s="663"/>
      <c r="M43" s="1632"/>
      <c r="N43" s="664"/>
      <c r="O43" s="665"/>
      <c r="P43" s="1649"/>
      <c r="Q43" s="1511"/>
      <c r="R43" s="1512"/>
      <c r="S43" s="1513"/>
      <c r="T43" s="666"/>
      <c r="U43" s="667"/>
      <c r="V43" s="668"/>
      <c r="W43" s="1879"/>
      <c r="X43" s="656" t="s">
        <v>402</v>
      </c>
      <c r="Y43" s="670"/>
      <c r="Z43" s="896"/>
      <c r="AA43" s="1603"/>
      <c r="AB43" s="673">
        <f>BJ43*AD43/$BL43</f>
        <v>33922.762365920004</v>
      </c>
      <c r="AC43" s="816">
        <f t="shared" ref="AC43:AC54" si="25">+AB43/AQ43</f>
        <v>1</v>
      </c>
      <c r="AD43" s="674">
        <f>1/BL43</f>
        <v>1</v>
      </c>
      <c r="AE43" s="675"/>
      <c r="AF43" s="877"/>
      <c r="AG43" s="855"/>
      <c r="AH43" s="677"/>
      <c r="AI43" s="679"/>
      <c r="AJ43" s="679"/>
      <c r="AK43" s="680"/>
      <c r="AL43" s="857"/>
      <c r="AM43" s="858"/>
      <c r="AN43" s="683"/>
      <c r="AO43" s="859"/>
      <c r="AP43" s="860"/>
      <c r="AQ43" s="686">
        <f>AB43+AE43+AH43+AK43</f>
        <v>33922.762365920004</v>
      </c>
      <c r="AR43" s="687">
        <f>AA43+AD43+AG43+AJ43+AM43</f>
        <v>1</v>
      </c>
      <c r="AS43" s="1914"/>
      <c r="AT43" s="801"/>
      <c r="AU43" s="689"/>
      <c r="AV43" s="802"/>
      <c r="AW43" s="691"/>
      <c r="AX43" s="692"/>
      <c r="AY43" s="693"/>
      <c r="AZ43" s="693"/>
      <c r="BA43" s="691"/>
      <c r="BB43" s="692"/>
      <c r="BC43" s="693"/>
      <c r="BD43" s="694"/>
      <c r="BE43" s="695"/>
      <c r="BF43" s="696"/>
      <c r="BG43" s="697"/>
      <c r="BH43" s="803"/>
      <c r="BI43" s="699"/>
      <c r="BJ43" s="700">
        <f>'[1]Nelle mise en page'!$G$37</f>
        <v>33922.762365920004</v>
      </c>
      <c r="BK43" s="1742" t="e">
        <f>BH43+#REF!+U43</f>
        <v>#REF!</v>
      </c>
      <c r="BL43" s="1680">
        <v>1</v>
      </c>
      <c r="BM43" s="656" t="s">
        <v>402</v>
      </c>
      <c r="BN43" s="701">
        <f t="shared" si="21"/>
        <v>33922.762365920004</v>
      </c>
      <c r="BO43" s="1587"/>
      <c r="BP43" s="1667">
        <f>D43+M43+P43+S43+AA43+AD43+AG43+AJ43+AV43+BC43+BF43</f>
        <v>1</v>
      </c>
      <c r="BQ43" s="24"/>
      <c r="BR43" s="702"/>
      <c r="BV43" s="718"/>
      <c r="BX43" s="24">
        <f t="shared" si="22"/>
        <v>33922.762365920004</v>
      </c>
      <c r="BY43" s="24">
        <f t="shared" si="23"/>
        <v>0</v>
      </c>
      <c r="CA43" s="703">
        <f t="shared" si="24"/>
        <v>0</v>
      </c>
    </row>
    <row r="44" spans="1:79" ht="27.75" thickBot="1">
      <c r="A44" s="704"/>
      <c r="B44" s="705"/>
      <c r="C44" s="706"/>
      <c r="D44" s="707"/>
      <c r="E44" s="708"/>
      <c r="F44" s="707"/>
      <c r="G44" s="708"/>
      <c r="H44" s="709"/>
      <c r="I44" s="710"/>
      <c r="J44" s="1707"/>
      <c r="K44" s="711"/>
      <c r="L44" s="712"/>
      <c r="M44" s="1633"/>
      <c r="N44" s="713"/>
      <c r="O44" s="714"/>
      <c r="P44" s="1650"/>
      <c r="Q44" s="1514"/>
      <c r="R44" s="1515"/>
      <c r="S44" s="1516"/>
      <c r="T44" s="715"/>
      <c r="U44" s="716"/>
      <c r="V44" s="717"/>
      <c r="W44" s="1879"/>
      <c r="X44" s="718"/>
      <c r="Y44" s="719"/>
      <c r="Z44" s="842"/>
      <c r="AA44" s="1604"/>
      <c r="AB44" s="720">
        <f>BJ44*AC43</f>
        <v>861.77709739445891</v>
      </c>
      <c r="AC44" s="805">
        <f t="shared" si="25"/>
        <v>1</v>
      </c>
      <c r="AD44" s="722"/>
      <c r="AE44" s="723"/>
      <c r="AF44" s="881"/>
      <c r="AG44" s="863"/>
      <c r="AH44" s="726"/>
      <c r="AI44" s="728"/>
      <c r="AJ44" s="728"/>
      <c r="AK44" s="729"/>
      <c r="AL44" s="865"/>
      <c r="AM44" s="866"/>
      <c r="AN44" s="732"/>
      <c r="AO44" s="867"/>
      <c r="AP44" s="868"/>
      <c r="AQ44" s="735">
        <f>AB44+AE44+AH44+AK44</f>
        <v>861.77709739445891</v>
      </c>
      <c r="AR44" s="736"/>
      <c r="AS44" s="1914"/>
      <c r="AT44" s="801"/>
      <c r="AU44" s="737"/>
      <c r="AV44" s="808"/>
      <c r="AW44" s="739"/>
      <c r="AX44" s="740"/>
      <c r="AY44" s="741"/>
      <c r="AZ44" s="741"/>
      <c r="BA44" s="739"/>
      <c r="BB44" s="740"/>
      <c r="BC44" s="741"/>
      <c r="BD44" s="742"/>
      <c r="BE44" s="809"/>
      <c r="BF44" s="744"/>
      <c r="BG44" s="745"/>
      <c r="BH44" s="810"/>
      <c r="BI44" s="747"/>
      <c r="BJ44" s="748">
        <f>'[1]Nelle mise en page'!$G$32</f>
        <v>861.77709739445891</v>
      </c>
      <c r="BK44" s="1743"/>
      <c r="BL44" s="1681"/>
      <c r="BM44" s="656" t="s">
        <v>402</v>
      </c>
      <c r="BN44" s="701">
        <f t="shared" si="21"/>
        <v>861.77709739445891</v>
      </c>
      <c r="BO44" s="1587"/>
      <c r="BP44" s="1667"/>
      <c r="BQ44" s="24"/>
      <c r="BR44" s="702"/>
      <c r="BV44" s="718"/>
      <c r="BX44" s="24">
        <f t="shared" si="22"/>
        <v>861.77709739445891</v>
      </c>
      <c r="BY44" s="24">
        <f t="shared" si="23"/>
        <v>0</v>
      </c>
      <c r="CA44" s="703">
        <f t="shared" si="24"/>
        <v>0</v>
      </c>
    </row>
    <row r="45" spans="1:79" ht="27.75" thickBot="1">
      <c r="A45" s="750"/>
      <c r="B45" s="751"/>
      <c r="C45" s="752"/>
      <c r="D45" s="753"/>
      <c r="E45" s="754"/>
      <c r="F45" s="753"/>
      <c r="G45" s="754"/>
      <c r="H45" s="752"/>
      <c r="I45" s="755"/>
      <c r="J45" s="1708"/>
      <c r="K45" s="756"/>
      <c r="L45" s="757"/>
      <c r="M45" s="1634"/>
      <c r="N45" s="758"/>
      <c r="O45" s="759"/>
      <c r="P45" s="1651"/>
      <c r="Q45" s="1517"/>
      <c r="R45" s="1518"/>
      <c r="S45" s="1519"/>
      <c r="T45" s="760"/>
      <c r="U45" s="761"/>
      <c r="V45" s="762"/>
      <c r="W45" s="1879"/>
      <c r="X45" s="763"/>
      <c r="Y45" s="764"/>
      <c r="Z45" s="847"/>
      <c r="AA45" s="1605"/>
      <c r="AB45" s="765">
        <f>BJ45*AC43</f>
        <v>682.72199999999998</v>
      </c>
      <c r="AC45" s="812">
        <f t="shared" si="25"/>
        <v>1</v>
      </c>
      <c r="AD45" s="766"/>
      <c r="AE45" s="767"/>
      <c r="AF45" s="884"/>
      <c r="AG45" s="871"/>
      <c r="AH45" s="770"/>
      <c r="AI45" s="772"/>
      <c r="AJ45" s="772"/>
      <c r="AK45" s="773"/>
      <c r="AL45" s="873"/>
      <c r="AM45" s="874"/>
      <c r="AN45" s="776"/>
      <c r="AO45" s="875"/>
      <c r="AP45" s="876"/>
      <c r="AQ45" s="779">
        <f>AB45+AE45+AH45+AK45</f>
        <v>682.72199999999998</v>
      </c>
      <c r="AR45" s="780"/>
      <c r="AS45" s="1914"/>
      <c r="AT45" s="801"/>
      <c r="AU45" s="781"/>
      <c r="AV45" s="782"/>
      <c r="AW45" s="784"/>
      <c r="AX45" s="785"/>
      <c r="AY45" s="786"/>
      <c r="AZ45" s="786"/>
      <c r="BA45" s="784"/>
      <c r="BB45" s="785"/>
      <c r="BC45" s="786"/>
      <c r="BD45" s="787"/>
      <c r="BE45" s="788"/>
      <c r="BF45" s="789"/>
      <c r="BG45" s="790"/>
      <c r="BH45" s="815"/>
      <c r="BI45" s="792"/>
      <c r="BJ45" s="793">
        <f>'[1]Nelle mise en page'!$G$29</f>
        <v>682.72199999999998</v>
      </c>
      <c r="BK45" s="1744"/>
      <c r="BL45" s="1682"/>
      <c r="BM45" s="656" t="s">
        <v>402</v>
      </c>
      <c r="BN45" s="701">
        <f t="shared" si="21"/>
        <v>682.72199999999998</v>
      </c>
      <c r="BO45" s="1587"/>
      <c r="BP45" s="1667"/>
      <c r="BQ45" s="24"/>
      <c r="BR45" s="702"/>
      <c r="BV45" s="718"/>
      <c r="BX45" s="24">
        <f t="shared" si="22"/>
        <v>682.72199999999998</v>
      </c>
      <c r="BY45" s="24">
        <f t="shared" si="23"/>
        <v>0</v>
      </c>
      <c r="CA45" s="703">
        <f t="shared" si="24"/>
        <v>0</v>
      </c>
    </row>
    <row r="46" spans="1:79" ht="27.75" thickBot="1">
      <c r="A46" s="656" t="s">
        <v>402</v>
      </c>
      <c r="B46" s="657"/>
      <c r="C46" s="658"/>
      <c r="D46" s="659"/>
      <c r="E46" s="660"/>
      <c r="F46" s="659"/>
      <c r="G46" s="660"/>
      <c r="H46" s="658"/>
      <c r="I46" s="661"/>
      <c r="J46" s="1706"/>
      <c r="K46" s="662"/>
      <c r="L46" s="663"/>
      <c r="M46" s="1632"/>
      <c r="N46" s="664"/>
      <c r="O46" s="665"/>
      <c r="P46" s="1649"/>
      <c r="Q46" s="1511"/>
      <c r="R46" s="1512"/>
      <c r="S46" s="1513"/>
      <c r="T46" s="666"/>
      <c r="U46" s="667"/>
      <c r="V46" s="668"/>
      <c r="W46" s="1879"/>
      <c r="X46" s="656" t="s">
        <v>402</v>
      </c>
      <c r="Y46" s="670">
        <f>BJ46*$AA46/$BL46</f>
        <v>24553.511937743999</v>
      </c>
      <c r="Z46" s="1806">
        <f t="shared" ref="Z46:Z57" si="26">+Y46/AQ46</f>
        <v>0.85</v>
      </c>
      <c r="AA46" s="1603">
        <f>0.85/BL46</f>
        <v>0.85</v>
      </c>
      <c r="AB46" s="673">
        <f>BJ46*AD46/$BL46</f>
        <v>4332.9726948959997</v>
      </c>
      <c r="AC46" s="816">
        <f t="shared" si="25"/>
        <v>0.15</v>
      </c>
      <c r="AD46" s="674">
        <f>0.15/BL46</f>
        <v>0.15</v>
      </c>
      <c r="AE46" s="675"/>
      <c r="AF46" s="877"/>
      <c r="AG46" s="855"/>
      <c r="AH46" s="677"/>
      <c r="AI46" s="679"/>
      <c r="AJ46" s="679"/>
      <c r="AK46" s="680"/>
      <c r="AL46" s="857"/>
      <c r="AM46" s="858"/>
      <c r="AN46" s="683"/>
      <c r="AO46" s="859"/>
      <c r="AP46" s="860"/>
      <c r="AQ46" s="686">
        <f t="shared" ref="AQ46:AQ51" si="27">Y46+AB46+AE46+AH46+AK46</f>
        <v>28886.48463264</v>
      </c>
      <c r="AR46" s="687">
        <f>AA46+AD46</f>
        <v>1</v>
      </c>
      <c r="AS46" s="1914"/>
      <c r="AT46" s="801"/>
      <c r="AU46" s="689"/>
      <c r="AV46" s="802"/>
      <c r="AW46" s="691"/>
      <c r="AX46" s="692"/>
      <c r="AY46" s="693"/>
      <c r="AZ46" s="693"/>
      <c r="BA46" s="691"/>
      <c r="BB46" s="692"/>
      <c r="BC46" s="693"/>
      <c r="BD46" s="694"/>
      <c r="BE46" s="695"/>
      <c r="BF46" s="696"/>
      <c r="BG46" s="697"/>
      <c r="BH46" s="803"/>
      <c r="BI46" s="699"/>
      <c r="BJ46" s="700">
        <f>'[1]Nelle mise en page'!$L$37</f>
        <v>28886.48463264</v>
      </c>
      <c r="BK46" s="1742" t="e">
        <f>BH46+#REF!+U46</f>
        <v>#REF!</v>
      </c>
      <c r="BL46" s="1680">
        <v>1</v>
      </c>
      <c r="BM46" s="656" t="s">
        <v>402</v>
      </c>
      <c r="BN46" s="701">
        <f t="shared" si="21"/>
        <v>28886.48463264</v>
      </c>
      <c r="BO46" s="1587"/>
      <c r="BP46" s="1667">
        <f>D46+M46+P46+S46+AA46+AD46+AG46+AJ46+AV46+BC46+BF46</f>
        <v>1</v>
      </c>
      <c r="BQ46" s="24"/>
      <c r="BR46" s="702"/>
      <c r="BV46" s="718"/>
      <c r="BX46" s="24">
        <f t="shared" si="22"/>
        <v>28886.48463264</v>
      </c>
      <c r="BY46" s="24">
        <f t="shared" si="23"/>
        <v>0</v>
      </c>
      <c r="CA46" s="703">
        <f t="shared" si="24"/>
        <v>0</v>
      </c>
    </row>
    <row r="47" spans="1:79" ht="27.75" thickBot="1">
      <c r="A47" s="704"/>
      <c r="B47" s="705"/>
      <c r="C47" s="706"/>
      <c r="D47" s="707"/>
      <c r="E47" s="708"/>
      <c r="F47" s="707"/>
      <c r="G47" s="708"/>
      <c r="H47" s="709"/>
      <c r="I47" s="710"/>
      <c r="J47" s="1707"/>
      <c r="K47" s="711"/>
      <c r="L47" s="712"/>
      <c r="M47" s="1633"/>
      <c r="N47" s="713"/>
      <c r="O47" s="714"/>
      <c r="P47" s="1650"/>
      <c r="Q47" s="1514"/>
      <c r="R47" s="1515"/>
      <c r="S47" s="1516"/>
      <c r="T47" s="715"/>
      <c r="U47" s="716"/>
      <c r="V47" s="717"/>
      <c r="W47" s="1879"/>
      <c r="X47" s="718"/>
      <c r="Y47" s="719">
        <f>BJ47*Z46</f>
        <v>735.57256075505495</v>
      </c>
      <c r="Z47" s="1808">
        <f t="shared" si="26"/>
        <v>0.85</v>
      </c>
      <c r="AA47" s="1604"/>
      <c r="AB47" s="720">
        <f>BJ47*AC46</f>
        <v>129.80692248618615</v>
      </c>
      <c r="AC47" s="805">
        <f t="shared" si="25"/>
        <v>0.14999999999999997</v>
      </c>
      <c r="AD47" s="722"/>
      <c r="AE47" s="723"/>
      <c r="AF47" s="881"/>
      <c r="AG47" s="863"/>
      <c r="AH47" s="726"/>
      <c r="AI47" s="728"/>
      <c r="AJ47" s="728"/>
      <c r="AK47" s="729"/>
      <c r="AL47" s="865"/>
      <c r="AM47" s="866"/>
      <c r="AN47" s="732"/>
      <c r="AO47" s="867"/>
      <c r="AP47" s="868"/>
      <c r="AQ47" s="735">
        <f t="shared" si="27"/>
        <v>865.37948324124113</v>
      </c>
      <c r="AR47" s="736"/>
      <c r="AS47" s="1914"/>
      <c r="AT47" s="801"/>
      <c r="AU47" s="737"/>
      <c r="AV47" s="808"/>
      <c r="AW47" s="739"/>
      <c r="AX47" s="740"/>
      <c r="AY47" s="741"/>
      <c r="AZ47" s="741"/>
      <c r="BA47" s="739"/>
      <c r="BB47" s="740"/>
      <c r="BC47" s="741"/>
      <c r="BD47" s="742"/>
      <c r="BE47" s="809"/>
      <c r="BF47" s="744"/>
      <c r="BG47" s="745"/>
      <c r="BH47" s="810"/>
      <c r="BI47" s="747"/>
      <c r="BJ47" s="748">
        <f>'[1]Nelle mise en page'!$L$32</f>
        <v>865.37948324124113</v>
      </c>
      <c r="BK47" s="1743"/>
      <c r="BL47" s="1681"/>
      <c r="BM47" s="656" t="s">
        <v>402</v>
      </c>
      <c r="BN47" s="701">
        <f t="shared" si="21"/>
        <v>865.37948324124113</v>
      </c>
      <c r="BO47" s="1587"/>
      <c r="BP47" s="1667"/>
      <c r="BQ47" s="24"/>
      <c r="BR47" s="702"/>
      <c r="BV47" s="718"/>
      <c r="BX47" s="24">
        <f t="shared" si="22"/>
        <v>865.37948324124113</v>
      </c>
      <c r="BY47" s="24">
        <f t="shared" si="23"/>
        <v>0</v>
      </c>
      <c r="CA47" s="703">
        <f t="shared" si="24"/>
        <v>0</v>
      </c>
    </row>
    <row r="48" spans="1:79" ht="27.75" thickBot="1">
      <c r="A48" s="750"/>
      <c r="B48" s="751"/>
      <c r="C48" s="752"/>
      <c r="D48" s="753"/>
      <c r="E48" s="754"/>
      <c r="F48" s="753"/>
      <c r="G48" s="754"/>
      <c r="H48" s="752"/>
      <c r="I48" s="755"/>
      <c r="J48" s="1708"/>
      <c r="K48" s="756"/>
      <c r="L48" s="757"/>
      <c r="M48" s="1634"/>
      <c r="N48" s="758"/>
      <c r="O48" s="759"/>
      <c r="P48" s="1651"/>
      <c r="Q48" s="1517"/>
      <c r="R48" s="1518"/>
      <c r="S48" s="1519"/>
      <c r="T48" s="760"/>
      <c r="U48" s="761"/>
      <c r="V48" s="762"/>
      <c r="W48" s="1879"/>
      <c r="X48" s="763"/>
      <c r="Y48" s="764">
        <f>BJ48*Z46</f>
        <v>509.48081999999994</v>
      </c>
      <c r="Z48" s="1809">
        <f t="shared" si="26"/>
        <v>0.85</v>
      </c>
      <c r="AA48" s="1605"/>
      <c r="AB48" s="765">
        <f>BJ48*AC46</f>
        <v>89.908379999999994</v>
      </c>
      <c r="AC48" s="812">
        <f t="shared" si="25"/>
        <v>0.15</v>
      </c>
      <c r="AD48" s="766"/>
      <c r="AE48" s="767"/>
      <c r="AF48" s="884"/>
      <c r="AG48" s="871"/>
      <c r="AH48" s="770"/>
      <c r="AI48" s="772"/>
      <c r="AJ48" s="772"/>
      <c r="AK48" s="773"/>
      <c r="AL48" s="873"/>
      <c r="AM48" s="874"/>
      <c r="AN48" s="776"/>
      <c r="AO48" s="875"/>
      <c r="AP48" s="876"/>
      <c r="AQ48" s="779">
        <f t="shared" si="27"/>
        <v>599.38919999999996</v>
      </c>
      <c r="AR48" s="780"/>
      <c r="AS48" s="1914"/>
      <c r="AT48" s="801"/>
      <c r="AU48" s="781"/>
      <c r="AV48" s="782"/>
      <c r="AW48" s="784"/>
      <c r="AX48" s="785"/>
      <c r="AY48" s="786"/>
      <c r="AZ48" s="786"/>
      <c r="BA48" s="784"/>
      <c r="BB48" s="785"/>
      <c r="BC48" s="786"/>
      <c r="BD48" s="787"/>
      <c r="BE48" s="788"/>
      <c r="BF48" s="789"/>
      <c r="BG48" s="790"/>
      <c r="BH48" s="815"/>
      <c r="BI48" s="792"/>
      <c r="BJ48" s="793">
        <f>'[1]Nelle mise en page'!$L$29</f>
        <v>599.38919999999996</v>
      </c>
      <c r="BK48" s="1744"/>
      <c r="BL48" s="1682"/>
      <c r="BM48" s="656" t="s">
        <v>402</v>
      </c>
      <c r="BN48" s="701">
        <f t="shared" si="21"/>
        <v>599.38919999999996</v>
      </c>
      <c r="BO48" s="1587"/>
      <c r="BP48" s="1667"/>
      <c r="BQ48" s="24"/>
      <c r="BR48" s="702"/>
      <c r="BV48" s="718"/>
      <c r="BX48" s="24">
        <f t="shared" si="22"/>
        <v>599.38919999999996</v>
      </c>
      <c r="BY48" s="24">
        <f t="shared" si="23"/>
        <v>0</v>
      </c>
      <c r="CA48" s="703">
        <f t="shared" si="24"/>
        <v>0</v>
      </c>
    </row>
    <row r="49" spans="1:79" ht="27.75" thickBot="1">
      <c r="A49" s="1562"/>
      <c r="B49" s="1563"/>
      <c r="C49" s="1564"/>
      <c r="D49" s="1565"/>
      <c r="E49" s="1566"/>
      <c r="F49" s="1565"/>
      <c r="G49" s="1566"/>
      <c r="H49" s="1564"/>
      <c r="I49" s="1567"/>
      <c r="J49" s="1709"/>
      <c r="K49" s="1568"/>
      <c r="L49" s="1569"/>
      <c r="M49" s="1635"/>
      <c r="N49" s="1570"/>
      <c r="O49" s="1571"/>
      <c r="P49" s="1652"/>
      <c r="Q49" s="1572"/>
      <c r="R49" s="1573"/>
      <c r="S49" s="1574"/>
      <c r="T49" s="1575"/>
      <c r="U49" s="1576"/>
      <c r="V49" s="1577"/>
      <c r="W49" s="1879"/>
      <c r="X49" s="656" t="s">
        <v>402</v>
      </c>
      <c r="Y49" s="670">
        <f>BJ49*$AA49/$BL49</f>
        <v>11196.3361015104</v>
      </c>
      <c r="Z49" s="671">
        <f t="shared" si="26"/>
        <v>0.49333333333333335</v>
      </c>
      <c r="AA49" s="1603">
        <v>0.37</v>
      </c>
      <c r="AB49" s="673">
        <f>BJ49*AD49/$BL49</f>
        <v>11498.9397799296</v>
      </c>
      <c r="AC49" s="816">
        <f t="shared" si="25"/>
        <v>0.50666666666666671</v>
      </c>
      <c r="AD49" s="674">
        <v>0.38</v>
      </c>
      <c r="AE49" s="675"/>
      <c r="AF49" s="877"/>
      <c r="AG49" s="855"/>
      <c r="AH49" s="677"/>
      <c r="AI49" s="679"/>
      <c r="AJ49" s="679"/>
      <c r="AK49" s="680"/>
      <c r="AL49" s="857"/>
      <c r="AM49" s="858"/>
      <c r="AN49" s="683"/>
      <c r="AO49" s="859"/>
      <c r="AP49" s="860"/>
      <c r="AQ49" s="686">
        <f t="shared" si="27"/>
        <v>22695.27588144</v>
      </c>
      <c r="AR49" s="687">
        <f>AD49+AA49</f>
        <v>0.75</v>
      </c>
      <c r="AS49" s="1914"/>
      <c r="AT49" s="801"/>
      <c r="AU49" s="689"/>
      <c r="AV49" s="802"/>
      <c r="AW49" s="691"/>
      <c r="AX49" s="692"/>
      <c r="AY49" s="693"/>
      <c r="AZ49" s="693"/>
      <c r="BA49" s="691"/>
      <c r="BB49" s="692"/>
      <c r="BC49" s="693"/>
      <c r="BD49" s="694"/>
      <c r="BE49" s="695"/>
      <c r="BF49" s="696"/>
      <c r="BG49" s="697"/>
      <c r="BH49" s="803"/>
      <c r="BI49" s="699"/>
      <c r="BJ49" s="1578">
        <f>'[1]Nelle mise en page'!$B$37</f>
        <v>22695.27588144</v>
      </c>
      <c r="BK49" s="1578" t="e">
        <f>BH49+#REF!+U49</f>
        <v>#REF!</v>
      </c>
      <c r="BL49" s="1686">
        <v>0.75</v>
      </c>
      <c r="BM49" s="656" t="s">
        <v>402</v>
      </c>
      <c r="BN49" s="701">
        <f t="shared" si="21"/>
        <v>22695.27588144</v>
      </c>
      <c r="BO49" s="1587"/>
      <c r="BP49" s="1667">
        <v>0.75</v>
      </c>
      <c r="BQ49" s="24"/>
      <c r="BR49" s="702"/>
      <c r="BV49" s="718"/>
      <c r="BX49" s="24">
        <f t="shared" si="22"/>
        <v>22695.27588144</v>
      </c>
      <c r="BY49" s="24">
        <f t="shared" si="23"/>
        <v>0</v>
      </c>
      <c r="CA49" s="703"/>
    </row>
    <row r="50" spans="1:79" ht="27.75" thickBot="1">
      <c r="A50" s="1562"/>
      <c r="B50" s="1563"/>
      <c r="C50" s="1564"/>
      <c r="D50" s="1565"/>
      <c r="E50" s="1566"/>
      <c r="F50" s="1565"/>
      <c r="G50" s="1566"/>
      <c r="H50" s="1564"/>
      <c r="I50" s="1567"/>
      <c r="J50" s="1709"/>
      <c r="K50" s="1568"/>
      <c r="L50" s="1569"/>
      <c r="M50" s="1635"/>
      <c r="N50" s="1570"/>
      <c r="O50" s="1571"/>
      <c r="P50" s="1652"/>
      <c r="Q50" s="1572"/>
      <c r="R50" s="1573"/>
      <c r="S50" s="1574"/>
      <c r="T50" s="1575"/>
      <c r="U50" s="1576"/>
      <c r="V50" s="1577"/>
      <c r="W50" s="1879"/>
      <c r="X50" s="718"/>
      <c r="Y50" s="670">
        <f>BJ50*AA49</f>
        <v>180.43806633715511</v>
      </c>
      <c r="Z50" s="1808">
        <f t="shared" si="26"/>
        <v>0.35387885228480342</v>
      </c>
      <c r="AA50" s="1604"/>
      <c r="AB50" s="720">
        <f>BJ50*AC49/BL49</f>
        <v>329.44848148045139</v>
      </c>
      <c r="AC50" s="805">
        <f t="shared" si="25"/>
        <v>0.64612114771519669</v>
      </c>
      <c r="AD50" s="722"/>
      <c r="AE50" s="723"/>
      <c r="AF50" s="881"/>
      <c r="AG50" s="863"/>
      <c r="AH50" s="726"/>
      <c r="AI50" s="728"/>
      <c r="AJ50" s="728"/>
      <c r="AK50" s="729"/>
      <c r="AL50" s="865"/>
      <c r="AM50" s="866"/>
      <c r="AN50" s="732"/>
      <c r="AO50" s="867"/>
      <c r="AP50" s="868"/>
      <c r="AQ50" s="686">
        <f t="shared" si="27"/>
        <v>509.88654781760647</v>
      </c>
      <c r="AR50" s="736"/>
      <c r="AS50" s="1914"/>
      <c r="AT50" s="801"/>
      <c r="AU50" s="737"/>
      <c r="AV50" s="808"/>
      <c r="AW50" s="739"/>
      <c r="AX50" s="740"/>
      <c r="AY50" s="741"/>
      <c r="AZ50" s="741"/>
      <c r="BA50" s="739"/>
      <c r="BB50" s="740"/>
      <c r="BC50" s="741"/>
      <c r="BD50" s="742"/>
      <c r="BE50" s="809"/>
      <c r="BF50" s="744"/>
      <c r="BG50" s="745"/>
      <c r="BH50" s="810"/>
      <c r="BI50" s="747"/>
      <c r="BJ50" s="1579">
        <f>'[1]Nelle mise en page'!$B$32</f>
        <v>487.67044955987865</v>
      </c>
      <c r="BK50" s="1579"/>
      <c r="BL50" s="1687"/>
      <c r="BM50" s="656" t="s">
        <v>402</v>
      </c>
      <c r="BN50" s="701">
        <f t="shared" si="21"/>
        <v>509.88654781760647</v>
      </c>
      <c r="BO50" s="1587"/>
      <c r="BP50" s="1667"/>
      <c r="BQ50" s="24"/>
      <c r="BR50" s="702"/>
      <c r="BV50" s="718"/>
      <c r="BX50" s="24">
        <f t="shared" si="22"/>
        <v>509.88654781760647</v>
      </c>
      <c r="BY50" s="24">
        <f t="shared" si="23"/>
        <v>-22.216098257727822</v>
      </c>
      <c r="CA50" s="703"/>
    </row>
    <row r="51" spans="1:79" ht="27.75" thickBot="1">
      <c r="A51" s="1562"/>
      <c r="B51" s="1563"/>
      <c r="C51" s="1564"/>
      <c r="D51" s="1565"/>
      <c r="E51" s="1566"/>
      <c r="F51" s="1565"/>
      <c r="G51" s="1566"/>
      <c r="H51" s="1564"/>
      <c r="I51" s="1567"/>
      <c r="J51" s="1709"/>
      <c r="K51" s="1568"/>
      <c r="L51" s="1569"/>
      <c r="M51" s="1635"/>
      <c r="N51" s="1570"/>
      <c r="O51" s="1571"/>
      <c r="P51" s="1652"/>
      <c r="Q51" s="1572"/>
      <c r="R51" s="1573"/>
      <c r="S51" s="1574"/>
      <c r="T51" s="1575"/>
      <c r="U51" s="1576"/>
      <c r="V51" s="1577"/>
      <c r="W51" s="1879"/>
      <c r="X51" s="763"/>
      <c r="Y51" s="670">
        <f>BJ51*AA49</f>
        <v>170.47649618999998</v>
      </c>
      <c r="Z51" s="1809">
        <f t="shared" si="26"/>
        <v>0.35387885228480337</v>
      </c>
      <c r="AA51" s="1605"/>
      <c r="AB51" s="765">
        <f>BJ51*AC49/BL49</f>
        <v>311.26038943999998</v>
      </c>
      <c r="AC51" s="812">
        <f t="shared" si="25"/>
        <v>0.64612114771519658</v>
      </c>
      <c r="AD51" s="766"/>
      <c r="AE51" s="767"/>
      <c r="AF51" s="884"/>
      <c r="AG51" s="871"/>
      <c r="AH51" s="770"/>
      <c r="AI51" s="772"/>
      <c r="AJ51" s="772"/>
      <c r="AK51" s="773"/>
      <c r="AL51" s="873"/>
      <c r="AM51" s="874"/>
      <c r="AN51" s="776"/>
      <c r="AO51" s="875"/>
      <c r="AP51" s="876"/>
      <c r="AQ51" s="686">
        <f t="shared" si="27"/>
        <v>481.73688562999996</v>
      </c>
      <c r="AR51" s="780"/>
      <c r="AS51" s="1914"/>
      <c r="AT51" s="801"/>
      <c r="AU51" s="781"/>
      <c r="AV51" s="782"/>
      <c r="AW51" s="784"/>
      <c r="AX51" s="785"/>
      <c r="AY51" s="786"/>
      <c r="AZ51" s="786"/>
      <c r="BA51" s="784"/>
      <c r="BB51" s="785"/>
      <c r="BC51" s="786"/>
      <c r="BD51" s="787"/>
      <c r="BE51" s="788"/>
      <c r="BF51" s="789"/>
      <c r="BG51" s="790"/>
      <c r="BH51" s="815"/>
      <c r="BI51" s="792"/>
      <c r="BJ51" s="1580">
        <f>'[1]Nelle mise en page'!$B$29</f>
        <v>460.74728699999997</v>
      </c>
      <c r="BK51" s="1580"/>
      <c r="BL51" s="1688"/>
      <c r="BM51" s="656" t="s">
        <v>402</v>
      </c>
      <c r="BN51" s="701">
        <f t="shared" si="21"/>
        <v>481.73688562999996</v>
      </c>
      <c r="BO51" s="1587"/>
      <c r="BP51" s="1667"/>
      <c r="BQ51" s="24"/>
      <c r="BR51" s="702"/>
      <c r="BV51" s="718"/>
      <c r="BX51" s="24">
        <f t="shared" si="22"/>
        <v>481.73688562999996</v>
      </c>
      <c r="BY51" s="24">
        <f t="shared" si="23"/>
        <v>-20.989598629999989</v>
      </c>
      <c r="CA51" s="703"/>
    </row>
    <row r="52" spans="1:79" ht="27.75" thickBot="1">
      <c r="A52" s="656" t="s">
        <v>402</v>
      </c>
      <c r="B52" s="657"/>
      <c r="C52" s="658"/>
      <c r="D52" s="659"/>
      <c r="E52" s="660">
        <f>BJ52*F52/BL52</f>
        <v>0</v>
      </c>
      <c r="F52" s="659"/>
      <c r="G52" s="660">
        <f>B52+E52</f>
        <v>0</v>
      </c>
      <c r="H52" s="658"/>
      <c r="I52" s="661">
        <f>F52+D52</f>
        <v>0</v>
      </c>
      <c r="J52" s="1706"/>
      <c r="K52" s="662">
        <f>BJ52*$M52/$BL52</f>
        <v>171.57026063999999</v>
      </c>
      <c r="L52" s="1817">
        <f>+K52/T52</f>
        <v>9.8039215686274508E-2</v>
      </c>
      <c r="M52" s="1632">
        <f>0.005/BL52</f>
        <v>5.0000000000000001E-3</v>
      </c>
      <c r="N52" s="664">
        <f>BJ52*$P52/$BL52</f>
        <v>1578.4463978879999</v>
      </c>
      <c r="O52" s="665">
        <f t="shared" ref="O52:O60" si="28">+N52/T52</f>
        <v>0.90196078431372551</v>
      </c>
      <c r="P52" s="1649">
        <f>0.046/BL52</f>
        <v>4.5999999999999999E-2</v>
      </c>
      <c r="Q52" s="1511"/>
      <c r="R52" s="1512"/>
      <c r="S52" s="1513"/>
      <c r="T52" s="666">
        <f t="shared" ref="T52:T60" si="29">B52+K52+N52+Q52</f>
        <v>1750.0166585279999</v>
      </c>
      <c r="U52" s="667">
        <f t="shared" ref="U52:U60" si="30">+T52/BJ52</f>
        <v>5.1000000000000004E-2</v>
      </c>
      <c r="V52" s="668"/>
      <c r="W52" s="1879"/>
      <c r="X52" s="656" t="s">
        <v>402</v>
      </c>
      <c r="Y52" s="670">
        <f>BJ52*$AA52/$BL52</f>
        <v>30882.646915199995</v>
      </c>
      <c r="Z52" s="671">
        <f t="shared" si="26"/>
        <v>0.9483667017913594</v>
      </c>
      <c r="AA52" s="1603">
        <f>0.9/BL52</f>
        <v>0.9</v>
      </c>
      <c r="AB52" s="673">
        <f>BJ52*AD52/$BL52</f>
        <v>1681.388554272</v>
      </c>
      <c r="AC52" s="816">
        <f t="shared" si="25"/>
        <v>5.1633298208640682E-2</v>
      </c>
      <c r="AD52" s="674">
        <f>0.049/BL52</f>
        <v>4.9000000000000002E-2</v>
      </c>
      <c r="AE52" s="675"/>
      <c r="AF52" s="799"/>
      <c r="AG52" s="676"/>
      <c r="AH52" s="677">
        <f>BJ52*$AJ52/$BL52</f>
        <v>0</v>
      </c>
      <c r="AI52" s="679"/>
      <c r="AJ52" s="679"/>
      <c r="AK52" s="680">
        <f>BJ52*$AM52/$BL52</f>
        <v>0</v>
      </c>
      <c r="AL52" s="681">
        <v>5.0000000000000001E-3</v>
      </c>
      <c r="AM52" s="682"/>
      <c r="AN52" s="683">
        <f>BJ52*$AP52/$BL52</f>
        <v>0</v>
      </c>
      <c r="AO52" s="819"/>
      <c r="AP52" s="685"/>
      <c r="AQ52" s="686">
        <f t="shared" si="13"/>
        <v>32564.035469471994</v>
      </c>
      <c r="AR52" s="687">
        <f>AA52+AD52+AG52+AJ52+AM52</f>
        <v>0.94900000000000007</v>
      </c>
      <c r="AS52" s="1914"/>
      <c r="AT52" s="801" t="str">
        <f>BM52</f>
        <v>XX</v>
      </c>
      <c r="AU52" s="689"/>
      <c r="AV52" s="802"/>
      <c r="AW52" s="691"/>
      <c r="AX52" s="692"/>
      <c r="AY52" s="693"/>
      <c r="AZ52" s="693"/>
      <c r="BA52" s="691"/>
      <c r="BB52" s="692"/>
      <c r="BC52" s="693"/>
      <c r="BD52" s="694"/>
      <c r="BE52" s="695"/>
      <c r="BF52" s="696"/>
      <c r="BG52" s="697"/>
      <c r="BH52" s="803"/>
      <c r="BI52" s="699"/>
      <c r="BJ52" s="700">
        <f>'[1]Nelle mise en page'!$J$37</f>
        <v>34314.052127999996</v>
      </c>
      <c r="BK52" s="1742" t="e">
        <f>BH52+#REF!+U52</f>
        <v>#REF!</v>
      </c>
      <c r="BL52" s="1680">
        <v>1</v>
      </c>
      <c r="BM52" s="656" t="s">
        <v>402</v>
      </c>
      <c r="BN52" s="701">
        <f t="shared" si="21"/>
        <v>34314.052127999996</v>
      </c>
      <c r="BO52" s="1587"/>
      <c r="BP52" s="1701">
        <f>D52+M52+P52+S52+AA52+AD52+AG52+AJ52+AV52+BC52+BF52</f>
        <v>1</v>
      </c>
      <c r="BQ52" s="24">
        <f>BD52+BA52+AW52+AU52+AN52+AK52+AH52+AE52+AB52+Y52+Q52+N52+K52+G52</f>
        <v>34314.052127999996</v>
      </c>
      <c r="BR52" s="702">
        <f>BJ52-BQ52</f>
        <v>0</v>
      </c>
      <c r="BV52" s="718" t="s">
        <v>38</v>
      </c>
      <c r="BX52" s="24">
        <f t="shared" si="22"/>
        <v>34314.052127999996</v>
      </c>
      <c r="BY52" s="24">
        <f t="shared" si="23"/>
        <v>0</v>
      </c>
      <c r="CA52" s="703">
        <f t="shared" si="24"/>
        <v>0</v>
      </c>
    </row>
    <row r="53" spans="1:79" ht="27.75" thickBot="1">
      <c r="A53" s="704"/>
      <c r="B53" s="705"/>
      <c r="C53" s="706"/>
      <c r="D53" s="707"/>
      <c r="E53" s="708"/>
      <c r="F53" s="707"/>
      <c r="G53" s="708">
        <f t="shared" ref="G53:G60" si="31">B53+E53</f>
        <v>0</v>
      </c>
      <c r="H53" s="709"/>
      <c r="I53" s="710"/>
      <c r="J53" s="1707"/>
      <c r="K53" s="711">
        <f>BJ53*M52</f>
        <v>5.6653232586597975</v>
      </c>
      <c r="L53" s="1818">
        <f>+K53/T53</f>
        <v>9.8039215686274522E-2</v>
      </c>
      <c r="M53" s="1633"/>
      <c r="N53" s="713">
        <f>BJ53*P52</f>
        <v>52.120973979670133</v>
      </c>
      <c r="O53" s="714">
        <f t="shared" si="28"/>
        <v>0.90196078431372551</v>
      </c>
      <c r="P53" s="1650"/>
      <c r="Q53" s="1514"/>
      <c r="R53" s="1515"/>
      <c r="S53" s="1516"/>
      <c r="T53" s="715">
        <f t="shared" si="29"/>
        <v>57.786297238329929</v>
      </c>
      <c r="U53" s="716">
        <f t="shared" si="30"/>
        <v>5.0999999999999997E-2</v>
      </c>
      <c r="V53" s="717"/>
      <c r="W53" s="1879"/>
      <c r="X53" s="718"/>
      <c r="Y53" s="719">
        <f>BJ53*Z52</f>
        <v>1074.5607866794137</v>
      </c>
      <c r="Z53" s="1808">
        <f t="shared" si="26"/>
        <v>0.94836670179135929</v>
      </c>
      <c r="AA53" s="1604"/>
      <c r="AB53" s="720">
        <f>BJ53*AC52</f>
        <v>58.503865052545862</v>
      </c>
      <c r="AC53" s="805">
        <f t="shared" si="25"/>
        <v>5.1633298208640675E-2</v>
      </c>
      <c r="AD53" s="722"/>
      <c r="AE53" s="723"/>
      <c r="AF53" s="806"/>
      <c r="AG53" s="725"/>
      <c r="AH53" s="726"/>
      <c r="AI53" s="728"/>
      <c r="AJ53" s="728"/>
      <c r="AK53" s="729"/>
      <c r="AL53" s="730"/>
      <c r="AM53" s="731"/>
      <c r="AN53" s="732"/>
      <c r="AO53" s="826"/>
      <c r="AP53" s="734"/>
      <c r="AQ53" s="735">
        <f t="shared" si="13"/>
        <v>1133.0646517319597</v>
      </c>
      <c r="AR53" s="736"/>
      <c r="AS53" s="1914"/>
      <c r="AT53" s="801"/>
      <c r="AU53" s="737"/>
      <c r="AV53" s="808"/>
      <c r="AW53" s="739"/>
      <c r="AX53" s="740"/>
      <c r="AY53" s="741"/>
      <c r="AZ53" s="741"/>
      <c r="BA53" s="739"/>
      <c r="BB53" s="740"/>
      <c r="BC53" s="741"/>
      <c r="BD53" s="742"/>
      <c r="BE53" s="809"/>
      <c r="BF53" s="744"/>
      <c r="BG53" s="745"/>
      <c r="BH53" s="810"/>
      <c r="BI53" s="747"/>
      <c r="BJ53" s="748">
        <f>'[1]Nelle mise en page'!$J$32</f>
        <v>1133.0646517319594</v>
      </c>
      <c r="BK53" s="1743"/>
      <c r="BL53" s="1681"/>
      <c r="BM53" s="656" t="s">
        <v>402</v>
      </c>
      <c r="BN53" s="701">
        <f t="shared" si="21"/>
        <v>1190.8509489702897</v>
      </c>
      <c r="BO53" s="1587"/>
      <c r="BP53" s="1667"/>
      <c r="BQ53" s="24"/>
      <c r="BR53" s="702"/>
      <c r="BV53" s="718"/>
      <c r="BX53" s="24">
        <f t="shared" si="22"/>
        <v>1190.8509489702897</v>
      </c>
      <c r="BY53" s="24">
        <f t="shared" si="23"/>
        <v>-57.786297238330235</v>
      </c>
      <c r="CA53" s="703">
        <f t="shared" si="24"/>
        <v>0</v>
      </c>
    </row>
    <row r="54" spans="1:79" ht="27.75" thickBot="1">
      <c r="A54" s="750"/>
      <c r="B54" s="751"/>
      <c r="C54" s="752"/>
      <c r="D54" s="753"/>
      <c r="E54" s="754"/>
      <c r="F54" s="753"/>
      <c r="G54" s="754">
        <f t="shared" si="31"/>
        <v>0</v>
      </c>
      <c r="H54" s="752"/>
      <c r="I54" s="755"/>
      <c r="J54" s="1708"/>
      <c r="K54" s="756">
        <f>BJ54*M52</f>
        <v>3.4056287999999997</v>
      </c>
      <c r="L54" s="1820">
        <f>+K54/T54</f>
        <v>9.8039215686274508E-2</v>
      </c>
      <c r="M54" s="1634"/>
      <c r="N54" s="758">
        <f>BJ54*P52</f>
        <v>31.331784959999993</v>
      </c>
      <c r="O54" s="759">
        <f t="shared" si="28"/>
        <v>0.90196078431372539</v>
      </c>
      <c r="P54" s="1651"/>
      <c r="Q54" s="1517"/>
      <c r="R54" s="1518"/>
      <c r="S54" s="1519"/>
      <c r="T54" s="760">
        <f t="shared" si="29"/>
        <v>34.737413759999995</v>
      </c>
      <c r="U54" s="761">
        <f t="shared" si="30"/>
        <v>5.1000000000000004E-2</v>
      </c>
      <c r="V54" s="762"/>
      <c r="W54" s="1879"/>
      <c r="X54" s="763"/>
      <c r="Y54" s="764">
        <f>BJ54*Z52</f>
        <v>645.95699051633289</v>
      </c>
      <c r="Z54" s="1809">
        <f t="shared" si="26"/>
        <v>0.94836670179135929</v>
      </c>
      <c r="AA54" s="1605"/>
      <c r="AB54" s="765">
        <f>BJ54*AC52</f>
        <v>35.16876948366702</v>
      </c>
      <c r="AC54" s="812">
        <f t="shared" si="25"/>
        <v>5.1633298208640682E-2</v>
      </c>
      <c r="AD54" s="766"/>
      <c r="AE54" s="767"/>
      <c r="AF54" s="813"/>
      <c r="AG54" s="769"/>
      <c r="AH54" s="770"/>
      <c r="AI54" s="772"/>
      <c r="AJ54" s="772"/>
      <c r="AK54" s="773"/>
      <c r="AL54" s="774"/>
      <c r="AM54" s="775"/>
      <c r="AN54" s="776"/>
      <c r="AO54" s="833"/>
      <c r="AP54" s="778"/>
      <c r="AQ54" s="779">
        <f t="shared" si="13"/>
        <v>681.1257599999999</v>
      </c>
      <c r="AR54" s="780"/>
      <c r="AS54" s="1914"/>
      <c r="AT54" s="801"/>
      <c r="AU54" s="781"/>
      <c r="AV54" s="782"/>
      <c r="AW54" s="784"/>
      <c r="AX54" s="785"/>
      <c r="AY54" s="786"/>
      <c r="AZ54" s="786"/>
      <c r="BA54" s="784"/>
      <c r="BB54" s="785"/>
      <c r="BC54" s="786"/>
      <c r="BD54" s="787"/>
      <c r="BE54" s="788"/>
      <c r="BF54" s="789"/>
      <c r="BG54" s="790"/>
      <c r="BH54" s="815"/>
      <c r="BI54" s="792"/>
      <c r="BJ54" s="793">
        <f>'[1]Nelle mise en page'!$J$29</f>
        <v>681.1257599999999</v>
      </c>
      <c r="BK54" s="1744"/>
      <c r="BL54" s="1682"/>
      <c r="BM54" s="656" t="s">
        <v>402</v>
      </c>
      <c r="BN54" s="701">
        <f t="shared" si="21"/>
        <v>715.86317375999988</v>
      </c>
      <c r="BO54" s="1587"/>
      <c r="BP54" s="1667"/>
      <c r="BQ54" s="24"/>
      <c r="BR54" s="702"/>
      <c r="BV54" s="718"/>
      <c r="BX54" s="24">
        <f t="shared" si="22"/>
        <v>715.86317375999988</v>
      </c>
      <c r="BY54" s="24">
        <f t="shared" si="23"/>
        <v>-34.737413759999981</v>
      </c>
      <c r="CA54" s="703">
        <f t="shared" si="24"/>
        <v>0</v>
      </c>
    </row>
    <row r="55" spans="1:79" ht="27.75" thickBot="1">
      <c r="A55" s="656" t="s">
        <v>402</v>
      </c>
      <c r="B55" s="657">
        <f>BJ55*D55/BL55</f>
        <v>164.33648528999998</v>
      </c>
      <c r="C55" s="1814">
        <f>+B55/T55</f>
        <v>2.8571428571428571E-2</v>
      </c>
      <c r="D55" s="659">
        <f>0.005/BL55</f>
        <v>5.0000000000000001E-3</v>
      </c>
      <c r="E55" s="660">
        <f>BJ55*F55/BL55</f>
        <v>0</v>
      </c>
      <c r="F55" s="659"/>
      <c r="G55" s="660">
        <f t="shared" si="31"/>
        <v>164.33648528999998</v>
      </c>
      <c r="H55" s="658"/>
      <c r="I55" s="661">
        <f>F55+D55</f>
        <v>5.0000000000000001E-3</v>
      </c>
      <c r="J55" s="1706"/>
      <c r="K55" s="662">
        <f>BJ55*$M55/$BL55</f>
        <v>0</v>
      </c>
      <c r="L55" s="663">
        <f>M55/1</f>
        <v>0</v>
      </c>
      <c r="M55" s="1632">
        <v>0</v>
      </c>
      <c r="N55" s="664">
        <f>BJ55*$P55/$BL55</f>
        <v>5587.4404998599994</v>
      </c>
      <c r="O55" s="665">
        <f t="shared" si="28"/>
        <v>0.97142857142857131</v>
      </c>
      <c r="P55" s="1649">
        <f>0.17/BL55</f>
        <v>0.17</v>
      </c>
      <c r="Q55" s="1511"/>
      <c r="R55" s="1512"/>
      <c r="S55" s="1513"/>
      <c r="T55" s="666">
        <f t="shared" si="29"/>
        <v>5751.7769851499997</v>
      </c>
      <c r="U55" s="667">
        <f t="shared" si="30"/>
        <v>0.17500000000000002</v>
      </c>
      <c r="V55" s="668"/>
      <c r="W55" s="1879"/>
      <c r="X55" s="656" t="s">
        <v>402</v>
      </c>
      <c r="Y55" s="670">
        <f>BJ55*$AA55/$BL55</f>
        <v>22579.833078846001</v>
      </c>
      <c r="Z55" s="671">
        <f t="shared" si="26"/>
        <v>1</v>
      </c>
      <c r="AA55" s="1603">
        <f>0.687/BL55</f>
        <v>0.68700000000000006</v>
      </c>
      <c r="AB55" s="673"/>
      <c r="AC55" s="816"/>
      <c r="AD55" s="674"/>
      <c r="AE55" s="675"/>
      <c r="AF55" s="799"/>
      <c r="AG55" s="676"/>
      <c r="AH55" s="677">
        <f>BJ55*$AJ55/$BL55</f>
        <v>0</v>
      </c>
      <c r="AI55" s="679"/>
      <c r="AJ55" s="679"/>
      <c r="AK55" s="680">
        <f>BJ55*$AM55/$BL55</f>
        <v>0</v>
      </c>
      <c r="AL55" s="681">
        <v>5.0000000000000001E-3</v>
      </c>
      <c r="AM55" s="682"/>
      <c r="AN55" s="683">
        <f>BJ55*$AP55/$BL55</f>
        <v>0</v>
      </c>
      <c r="AO55" s="819"/>
      <c r="AP55" s="685"/>
      <c r="AQ55" s="686">
        <f t="shared" si="13"/>
        <v>22579.833078846001</v>
      </c>
      <c r="AR55" s="687">
        <f>AA55+AD55+AG55+AJ55+AM55</f>
        <v>0.68700000000000006</v>
      </c>
      <c r="AS55" s="1914"/>
      <c r="AT55" s="801" t="str">
        <f>BM55</f>
        <v>XX</v>
      </c>
      <c r="AU55" s="689">
        <f>BJ55*$AV55/$BL55</f>
        <v>1308.7603212199426</v>
      </c>
      <c r="AV55" s="690">
        <f>0.03981953/BL55</f>
        <v>3.9819529999999999E-2</v>
      </c>
      <c r="AW55" s="691">
        <f>BJ55*$AY55/$BL55</f>
        <v>0</v>
      </c>
      <c r="AX55" s="692"/>
      <c r="AY55" s="693">
        <v>0</v>
      </c>
      <c r="AZ55" s="693"/>
      <c r="BA55" s="691">
        <f>BJ55*$BC55/$BL55</f>
        <v>3226.9266727840572</v>
      </c>
      <c r="BB55" s="692">
        <f t="shared" ref="BB55:BB60" si="32">+BA55/BG55</f>
        <v>0.7114526811594204</v>
      </c>
      <c r="BC55" s="693">
        <f>0.09818047/BL55</f>
        <v>9.8180470000000006E-2</v>
      </c>
      <c r="BD55" s="694"/>
      <c r="BE55" s="695"/>
      <c r="BF55" s="696"/>
      <c r="BG55" s="697">
        <f t="shared" ref="BG55:BG60" si="33">AU55+BA55+BD55</f>
        <v>4535.6869940039996</v>
      </c>
      <c r="BH55" s="803">
        <f t="shared" ref="BH55:BH60" si="34">+BG55/BJ55</f>
        <v>0.13800000000000001</v>
      </c>
      <c r="BI55" s="699">
        <f>BF55+BC55+AY55+AV55+AZ55</f>
        <v>0.13800000000000001</v>
      </c>
      <c r="BJ55" s="700">
        <f>'[1]Nelle mise en page'!$P$37</f>
        <v>32867.297057999996</v>
      </c>
      <c r="BK55" s="1742" t="e">
        <f>BH55+#REF!+U55</f>
        <v>#REF!</v>
      </c>
      <c r="BL55" s="1680">
        <v>1</v>
      </c>
      <c r="BM55" s="656" t="s">
        <v>402</v>
      </c>
      <c r="BN55" s="701">
        <f t="shared" si="21"/>
        <v>32867.297057999996</v>
      </c>
      <c r="BO55" s="1587"/>
      <c r="BP55" s="1667">
        <f>D55+M55+P55+S55+AA55+AD55+AG55+AJ55+AV55+BC55+BF55</f>
        <v>1.0000000000000002</v>
      </c>
      <c r="BQ55" s="24">
        <f>BD55+BA55+AW55+AU55+AN55+AK55+AH55+AE55+AB55+Y55+Q55+N55+K55+G55</f>
        <v>32867.297057999996</v>
      </c>
      <c r="BR55" s="702">
        <f>BJ55-BQ55</f>
        <v>0</v>
      </c>
      <c r="BV55" s="718" t="s">
        <v>39</v>
      </c>
      <c r="BX55" s="24">
        <f t="shared" si="22"/>
        <v>32867.297057999996</v>
      </c>
      <c r="BY55" s="24">
        <f t="shared" si="23"/>
        <v>0</v>
      </c>
      <c r="CA55" s="703">
        <f t="shared" si="24"/>
        <v>0</v>
      </c>
    </row>
    <row r="56" spans="1:79" ht="27.75" thickBot="1">
      <c r="A56" s="704"/>
      <c r="B56" s="705">
        <f>BJ56*D55</f>
        <v>5.3049941640270983</v>
      </c>
      <c r="C56" s="1815">
        <f>+B56/T56</f>
        <v>2.8571428571428567E-2</v>
      </c>
      <c r="D56" s="707"/>
      <c r="E56" s="708"/>
      <c r="F56" s="707"/>
      <c r="G56" s="708">
        <f t="shared" si="31"/>
        <v>5.3049941640270983</v>
      </c>
      <c r="H56" s="709"/>
      <c r="I56" s="710"/>
      <c r="J56" s="1707"/>
      <c r="K56" s="711">
        <f>BJ56*L55</f>
        <v>0</v>
      </c>
      <c r="L56" s="712"/>
      <c r="M56" s="1633"/>
      <c r="N56" s="713">
        <f>BJ56*P55</f>
        <v>180.36980157692136</v>
      </c>
      <c r="O56" s="714">
        <f t="shared" si="28"/>
        <v>0.97142857142857142</v>
      </c>
      <c r="P56" s="1650"/>
      <c r="Q56" s="1514"/>
      <c r="R56" s="1515"/>
      <c r="S56" s="1516"/>
      <c r="T56" s="715">
        <f t="shared" si="29"/>
        <v>185.67479574094847</v>
      </c>
      <c r="U56" s="716">
        <f t="shared" si="30"/>
        <v>0.17500000000000004</v>
      </c>
      <c r="V56" s="717"/>
      <c r="W56" s="1879"/>
      <c r="X56" s="718"/>
      <c r="Y56" s="719">
        <f>BJ56*Z55</f>
        <v>1060.9988328054196</v>
      </c>
      <c r="Z56" s="1808">
        <f t="shared" si="26"/>
        <v>1</v>
      </c>
      <c r="AA56" s="1604"/>
      <c r="AB56" s="720"/>
      <c r="AC56" s="805"/>
      <c r="AD56" s="722"/>
      <c r="AE56" s="723"/>
      <c r="AF56" s="806"/>
      <c r="AG56" s="725"/>
      <c r="AH56" s="726"/>
      <c r="AI56" s="728"/>
      <c r="AJ56" s="728"/>
      <c r="AK56" s="729"/>
      <c r="AL56" s="730"/>
      <c r="AM56" s="731"/>
      <c r="AN56" s="732"/>
      <c r="AO56" s="826"/>
      <c r="AP56" s="734"/>
      <c r="AQ56" s="735">
        <f t="shared" si="13"/>
        <v>1060.9988328054196</v>
      </c>
      <c r="AR56" s="736"/>
      <c r="AS56" s="1914"/>
      <c r="AT56" s="801"/>
      <c r="AU56" s="737">
        <f>BJ56*AV55/BL55</f>
        <v>42.24847485286039</v>
      </c>
      <c r="AV56" s="738"/>
      <c r="AW56" s="739"/>
      <c r="AX56" s="740"/>
      <c r="AY56" s="741"/>
      <c r="AZ56" s="741"/>
      <c r="BA56" s="739">
        <f>BJ56*BB55</f>
        <v>754.85046430643138</v>
      </c>
      <c r="BB56" s="740">
        <f t="shared" si="32"/>
        <v>0.94699720100315243</v>
      </c>
      <c r="BC56" s="741"/>
      <c r="BD56" s="742"/>
      <c r="BE56" s="809"/>
      <c r="BF56" s="744"/>
      <c r="BG56" s="745">
        <f t="shared" si="33"/>
        <v>797.09893915929172</v>
      </c>
      <c r="BH56" s="810">
        <f t="shared" si="34"/>
        <v>0.75127221115942033</v>
      </c>
      <c r="BI56" s="747"/>
      <c r="BJ56" s="748">
        <f>'[1]Nelle mise en page'!$P$32</f>
        <v>1060.9988328054196</v>
      </c>
      <c r="BK56" s="1743"/>
      <c r="BL56" s="1681"/>
      <c r="BM56" s="656" t="s">
        <v>402</v>
      </c>
      <c r="BN56" s="701">
        <f t="shared" si="21"/>
        <v>2043.7725677056596</v>
      </c>
      <c r="BO56" s="1587"/>
      <c r="BP56" s="1667"/>
      <c r="BQ56" s="24"/>
      <c r="BR56" s="702"/>
      <c r="BV56" s="718"/>
      <c r="BX56" s="24">
        <f t="shared" si="22"/>
        <v>2043.7725677056599</v>
      </c>
      <c r="BY56" s="24">
        <f t="shared" si="23"/>
        <v>-982.77373490024024</v>
      </c>
      <c r="CA56" s="703">
        <f t="shared" si="24"/>
        <v>0</v>
      </c>
    </row>
    <row r="57" spans="1:79" ht="27.75" thickBot="1">
      <c r="A57" s="750"/>
      <c r="B57" s="751">
        <f>BJ57*D55</f>
        <v>3.2956037999999994</v>
      </c>
      <c r="C57" s="1816">
        <f>+B57/T57</f>
        <v>2.8571428571428571E-2</v>
      </c>
      <c r="D57" s="753"/>
      <c r="E57" s="754"/>
      <c r="F57" s="753"/>
      <c r="G57" s="754">
        <f t="shared" si="31"/>
        <v>3.2956037999999994</v>
      </c>
      <c r="H57" s="752"/>
      <c r="I57" s="755"/>
      <c r="J57" s="1708"/>
      <c r="K57" s="756">
        <f>BJ57*L55</f>
        <v>0</v>
      </c>
      <c r="L57" s="757"/>
      <c r="M57" s="1634"/>
      <c r="N57" s="758">
        <f>BJ57*P55</f>
        <v>112.05052919999999</v>
      </c>
      <c r="O57" s="759">
        <f t="shared" si="28"/>
        <v>0.97142857142857142</v>
      </c>
      <c r="P57" s="1651"/>
      <c r="Q57" s="1517"/>
      <c r="R57" s="1518"/>
      <c r="S57" s="1519"/>
      <c r="T57" s="760">
        <f t="shared" si="29"/>
        <v>115.34613299999998</v>
      </c>
      <c r="U57" s="761">
        <f t="shared" si="30"/>
        <v>0.17499999999999999</v>
      </c>
      <c r="V57" s="762"/>
      <c r="W57" s="1879"/>
      <c r="X57" s="763"/>
      <c r="Y57" s="764">
        <f>BJ57*Z55</f>
        <v>659.1207599999999</v>
      </c>
      <c r="Z57" s="1809">
        <f t="shared" si="26"/>
        <v>1</v>
      </c>
      <c r="AA57" s="1605"/>
      <c r="AB57" s="765"/>
      <c r="AC57" s="812"/>
      <c r="AD57" s="766"/>
      <c r="AE57" s="767"/>
      <c r="AF57" s="813"/>
      <c r="AG57" s="769"/>
      <c r="AH57" s="770"/>
      <c r="AI57" s="772"/>
      <c r="AJ57" s="772"/>
      <c r="AK57" s="773"/>
      <c r="AL57" s="774"/>
      <c r="AM57" s="775"/>
      <c r="AN57" s="776"/>
      <c r="AO57" s="833"/>
      <c r="AP57" s="778"/>
      <c r="AQ57" s="779">
        <f t="shared" si="13"/>
        <v>659.1207599999999</v>
      </c>
      <c r="AR57" s="780"/>
      <c r="AS57" s="1914"/>
      <c r="AT57" s="801"/>
      <c r="AU57" s="781">
        <f>BJ57*AV55/BL55</f>
        <v>26.245878876442795</v>
      </c>
      <c r="AV57" s="783"/>
      <c r="AW57" s="784"/>
      <c r="AX57" s="785"/>
      <c r="AY57" s="786"/>
      <c r="AZ57" s="786"/>
      <c r="BA57" s="784">
        <f>BJ57*BB55</f>
        <v>468.93323190983477</v>
      </c>
      <c r="BB57" s="785">
        <f t="shared" si="32"/>
        <v>0.94699720100315232</v>
      </c>
      <c r="BC57" s="786"/>
      <c r="BD57" s="787"/>
      <c r="BE57" s="788"/>
      <c r="BF57" s="789"/>
      <c r="BG57" s="790">
        <f t="shared" si="33"/>
        <v>495.17911078627759</v>
      </c>
      <c r="BH57" s="815">
        <f t="shared" si="34"/>
        <v>0.75127221115942044</v>
      </c>
      <c r="BI57" s="792"/>
      <c r="BJ57" s="793">
        <f>'[1]Nelle mise en page'!$P$29</f>
        <v>659.1207599999999</v>
      </c>
      <c r="BK57" s="1744"/>
      <c r="BL57" s="1682"/>
      <c r="BM57" s="656" t="s">
        <v>402</v>
      </c>
      <c r="BN57" s="701">
        <f t="shared" si="21"/>
        <v>1269.6460037862776</v>
      </c>
      <c r="BO57" s="1587"/>
      <c r="BP57" s="1667"/>
      <c r="BQ57" s="24"/>
      <c r="BR57" s="702"/>
      <c r="BV57" s="718"/>
      <c r="BX57" s="24">
        <f t="shared" si="22"/>
        <v>1269.6460037862776</v>
      </c>
      <c r="BY57" s="24">
        <f t="shared" si="23"/>
        <v>-610.52524378627766</v>
      </c>
      <c r="CA57" s="703">
        <f t="shared" si="24"/>
        <v>0</v>
      </c>
    </row>
    <row r="58" spans="1:79" ht="27.75" thickBot="1">
      <c r="A58" s="656" t="s">
        <v>402</v>
      </c>
      <c r="B58" s="657">
        <f>BJ58*D58/BL58</f>
        <v>0</v>
      </c>
      <c r="C58" s="658">
        <f>D58/1</f>
        <v>0</v>
      </c>
      <c r="D58" s="659">
        <v>0</v>
      </c>
      <c r="E58" s="660">
        <f>BJ58*F58/BL58</f>
        <v>0</v>
      </c>
      <c r="F58" s="659"/>
      <c r="G58" s="660">
        <f t="shared" si="31"/>
        <v>0</v>
      </c>
      <c r="H58" s="658"/>
      <c r="I58" s="661">
        <f>F58+D58</f>
        <v>0</v>
      </c>
      <c r="J58" s="1706"/>
      <c r="K58" s="662">
        <f>BJ58*$M58/$BL58</f>
        <v>1269.4570279193128</v>
      </c>
      <c r="L58" s="1817">
        <f>+K58/T58</f>
        <v>0.19441850304759728</v>
      </c>
      <c r="M58" s="1632">
        <f>0.039820990333333/BL58</f>
        <v>3.9820990333333001E-2</v>
      </c>
      <c r="N58" s="664">
        <f>BJ58*$P58/$BL58</f>
        <v>5260.0502361528006</v>
      </c>
      <c r="O58" s="1813">
        <f t="shared" si="28"/>
        <v>0.80558149695240266</v>
      </c>
      <c r="P58" s="1649">
        <f>0.165/BL58</f>
        <v>0.16500000000000001</v>
      </c>
      <c r="Q58" s="1511">
        <f>BJ58*$S58/$BL58</f>
        <v>0</v>
      </c>
      <c r="R58" s="1512">
        <f>S58/BP58</f>
        <v>0</v>
      </c>
      <c r="S58" s="1513">
        <v>0</v>
      </c>
      <c r="T58" s="666">
        <f t="shared" si="29"/>
        <v>6529.5072640721137</v>
      </c>
      <c r="U58" s="667">
        <f t="shared" si="30"/>
        <v>0.20482099033333304</v>
      </c>
      <c r="V58" s="668"/>
      <c r="W58" s="1879"/>
      <c r="X58" s="656" t="s">
        <v>402</v>
      </c>
      <c r="Y58" s="670">
        <f>BJ58*$AA58/$BL58</f>
        <v>0</v>
      </c>
      <c r="Z58" s="896"/>
      <c r="AA58" s="1603">
        <v>0</v>
      </c>
      <c r="AB58" s="673">
        <f>BJ58*AD58/$BL58</f>
        <v>21263.35459099344</v>
      </c>
      <c r="AC58" s="1740">
        <f>+AB58/AQ58</f>
        <v>1</v>
      </c>
      <c r="AD58" s="816">
        <f>0.667/BL58</f>
        <v>0.66700000000000004</v>
      </c>
      <c r="AE58" s="675"/>
      <c r="AF58" s="877"/>
      <c r="AG58" s="855"/>
      <c r="AH58" s="677"/>
      <c r="AI58" s="679"/>
      <c r="AJ58" s="679"/>
      <c r="AK58" s="680"/>
      <c r="AL58" s="897"/>
      <c r="AM58" s="858"/>
      <c r="AN58" s="683">
        <f>BJ58*$AP58/$BL58</f>
        <v>0</v>
      </c>
      <c r="AO58" s="859"/>
      <c r="AP58" s="860"/>
      <c r="AQ58" s="686">
        <f t="shared" si="13"/>
        <v>21263.35459099344</v>
      </c>
      <c r="AR58" s="687">
        <f>AA58+AD58+AG58+AJ58+AM58</f>
        <v>0.66700000000000004</v>
      </c>
      <c r="AS58" s="1914"/>
      <c r="AT58" s="801" t="str">
        <f>BM58</f>
        <v>XX</v>
      </c>
      <c r="AU58" s="689">
        <f>BJ58*$AV58/$BL58</f>
        <v>1695.2985703568006</v>
      </c>
      <c r="AV58" s="690">
        <f>0.05317901/BL58</f>
        <v>5.3179009999999999E-2</v>
      </c>
      <c r="AW58" s="691">
        <f>BJ58*$AY58/$BL58</f>
        <v>0</v>
      </c>
      <c r="AX58" s="692"/>
      <c r="AY58" s="693">
        <v>0</v>
      </c>
      <c r="AZ58" s="693"/>
      <c r="BA58" s="691">
        <f>BJ58*$BC58/$BL58</f>
        <v>2390.9319255239998</v>
      </c>
      <c r="BB58" s="692">
        <f t="shared" si="32"/>
        <v>0.58511920165399933</v>
      </c>
      <c r="BC58" s="693">
        <f>0.075/BL58</f>
        <v>7.4999999999999997E-2</v>
      </c>
      <c r="BD58" s="694">
        <f>BJ58*$BF58/$BL58</f>
        <v>0</v>
      </c>
      <c r="BE58" s="695">
        <f>BF58/BL58</f>
        <v>0</v>
      </c>
      <c r="BF58" s="696">
        <v>0</v>
      </c>
      <c r="BG58" s="697">
        <f t="shared" si="33"/>
        <v>4086.2304958808004</v>
      </c>
      <c r="BH58" s="803">
        <f t="shared" si="34"/>
        <v>0.12817900999999998</v>
      </c>
      <c r="BI58" s="699">
        <f>BF58+BC58+AY58+AV58+AZ58</f>
        <v>0.12817900999999998</v>
      </c>
      <c r="BJ58" s="700">
        <f>'[1]Nelle mise en page'!$K$37</f>
        <v>31879.092340319999</v>
      </c>
      <c r="BK58" s="1742" t="e">
        <f>BH58+#REF!+U58</f>
        <v>#REF!</v>
      </c>
      <c r="BL58" s="1680">
        <v>1</v>
      </c>
      <c r="BM58" s="656" t="s">
        <v>402</v>
      </c>
      <c r="BN58" s="701">
        <f t="shared" si="21"/>
        <v>31879.092350946354</v>
      </c>
      <c r="BO58" s="1587"/>
      <c r="BP58" s="1667">
        <f>D58+M58+P58+S58+AA58+AD58+AG58+AJ58+AV58+BC58+BF58</f>
        <v>1.0000000003333331</v>
      </c>
      <c r="BQ58" s="24">
        <f>BD58+BA58+AW58+AU58+AN58+AK58+AH58+AE58+AB58+Y58+Q58+N58+K58+G58</f>
        <v>31879.092350946357</v>
      </c>
      <c r="BR58" s="702">
        <f>BJ58-BQ58</f>
        <v>-1.0626357834553346E-5</v>
      </c>
      <c r="BV58" s="718" t="s">
        <v>40</v>
      </c>
      <c r="BX58" s="24">
        <f t="shared" si="22"/>
        <v>31879.092350946354</v>
      </c>
      <c r="BY58" s="24">
        <f t="shared" si="23"/>
        <v>-1.0626354196574539E-5</v>
      </c>
      <c r="CA58" s="703">
        <f t="shared" si="24"/>
        <v>3.3333313886885207E-10</v>
      </c>
    </row>
    <row r="59" spans="1:79" ht="27.75" thickBot="1">
      <c r="A59" s="704"/>
      <c r="B59" s="705">
        <f>BJ59*C58</f>
        <v>0</v>
      </c>
      <c r="C59" s="706"/>
      <c r="D59" s="707"/>
      <c r="E59" s="708"/>
      <c r="F59" s="707"/>
      <c r="G59" s="708">
        <f t="shared" si="31"/>
        <v>0</v>
      </c>
      <c r="H59" s="709"/>
      <c r="I59" s="710"/>
      <c r="J59" s="1707"/>
      <c r="K59" s="711">
        <f>BJ59*M58</f>
        <v>40.339169892945506</v>
      </c>
      <c r="L59" s="1818">
        <f>+K59/T59</f>
        <v>0.19441850304759731</v>
      </c>
      <c r="M59" s="1633"/>
      <c r="N59" s="713">
        <f>BJ59*P58</f>
        <v>167.14709947242306</v>
      </c>
      <c r="O59" s="714">
        <f t="shared" si="28"/>
        <v>0.80558149695240266</v>
      </c>
      <c r="P59" s="1650"/>
      <c r="Q59" s="1514">
        <f>BJ59*R58</f>
        <v>0</v>
      </c>
      <c r="R59" s="1515"/>
      <c r="S59" s="1516"/>
      <c r="T59" s="715">
        <f t="shared" si="29"/>
        <v>207.48626936536857</v>
      </c>
      <c r="U59" s="716">
        <f t="shared" si="30"/>
        <v>0.20482099033333301</v>
      </c>
      <c r="V59" s="717"/>
      <c r="W59" s="1879"/>
      <c r="X59" s="718"/>
      <c r="Y59" s="719"/>
      <c r="Z59" s="842"/>
      <c r="AA59" s="1604"/>
      <c r="AB59" s="720">
        <f>BJ59*AC58</f>
        <v>1013.0127240752913</v>
      </c>
      <c r="AC59" s="1812">
        <f>+AB59/AQ59</f>
        <v>1</v>
      </c>
      <c r="AD59" s="722"/>
      <c r="AE59" s="723"/>
      <c r="AF59" s="881"/>
      <c r="AG59" s="863"/>
      <c r="AH59" s="726"/>
      <c r="AI59" s="728"/>
      <c r="AJ59" s="728"/>
      <c r="AK59" s="729"/>
      <c r="AL59" s="898"/>
      <c r="AM59" s="866"/>
      <c r="AN59" s="732"/>
      <c r="AO59" s="867"/>
      <c r="AP59" s="868"/>
      <c r="AQ59" s="735">
        <f t="shared" si="13"/>
        <v>1013.0127240752913</v>
      </c>
      <c r="AR59" s="736"/>
      <c r="AS59" s="1914"/>
      <c r="AT59" s="801"/>
      <c r="AU59" s="737">
        <f>BJ59*AV58/BL58</f>
        <v>53.871013783727157</v>
      </c>
      <c r="AV59" s="738"/>
      <c r="AW59" s="739"/>
      <c r="AX59" s="740"/>
      <c r="AY59" s="741"/>
      <c r="AZ59" s="741"/>
      <c r="BA59" s="739">
        <f>BJ59*BB58</f>
        <v>592.73319637627753</v>
      </c>
      <c r="BB59" s="740">
        <f t="shared" si="32"/>
        <v>0.91668626195552216</v>
      </c>
      <c r="BC59" s="741"/>
      <c r="BD59" s="742">
        <f>BJ59*BE58</f>
        <v>0</v>
      </c>
      <c r="BE59" s="809"/>
      <c r="BF59" s="744"/>
      <c r="BG59" s="745">
        <f t="shared" si="33"/>
        <v>646.60421016000464</v>
      </c>
      <c r="BH59" s="810">
        <f t="shared" si="34"/>
        <v>0.63829821165399925</v>
      </c>
      <c r="BI59" s="747"/>
      <c r="BJ59" s="748">
        <f>'[1]Nelle mise en page'!$K$32</f>
        <v>1013.0127240752913</v>
      </c>
      <c r="BK59" s="1743"/>
      <c r="BL59" s="1681"/>
      <c r="BM59" s="656" t="s">
        <v>402</v>
      </c>
      <c r="BN59" s="701">
        <f t="shared" si="21"/>
        <v>1867.1032036006645</v>
      </c>
      <c r="BO59" s="1587"/>
      <c r="BP59" s="1667"/>
      <c r="BQ59" s="24"/>
      <c r="BR59" s="702"/>
      <c r="BV59" s="718"/>
      <c r="BX59" s="24">
        <f t="shared" si="22"/>
        <v>1867.1032036006645</v>
      </c>
      <c r="BY59" s="24">
        <f t="shared" si="23"/>
        <v>-854.09047952537321</v>
      </c>
      <c r="CA59" s="703">
        <f t="shared" si="24"/>
        <v>0</v>
      </c>
    </row>
    <row r="60" spans="1:79" s="1801" customFormat="1" ht="27.75" thickBot="1">
      <c r="A60" s="1762"/>
      <c r="B60" s="1763">
        <f>BJ60*C58</f>
        <v>0</v>
      </c>
      <c r="C60" s="1764"/>
      <c r="D60" s="1765"/>
      <c r="E60" s="1766"/>
      <c r="F60" s="1765"/>
      <c r="G60" s="1766">
        <f t="shared" si="31"/>
        <v>0</v>
      </c>
      <c r="H60" s="1764"/>
      <c r="I60" s="1767"/>
      <c r="J60" s="1768"/>
      <c r="K60" s="1769">
        <f>BJ60*M58</f>
        <v>25.663369926538586</v>
      </c>
      <c r="L60" s="1819">
        <f>+K60/T60</f>
        <v>0.19441850304759728</v>
      </c>
      <c r="M60" s="1771"/>
      <c r="N60" s="1772">
        <f>BJ60*P58</f>
        <v>106.33728600000001</v>
      </c>
      <c r="O60" s="1773">
        <f t="shared" si="28"/>
        <v>0.80558149695240266</v>
      </c>
      <c r="P60" s="1774"/>
      <c r="Q60" s="1775">
        <f>BJ60*R58</f>
        <v>0</v>
      </c>
      <c r="R60" s="1776"/>
      <c r="S60" s="1777"/>
      <c r="T60" s="1769">
        <f t="shared" si="29"/>
        <v>132.0006559265386</v>
      </c>
      <c r="U60" s="1778">
        <f t="shared" si="30"/>
        <v>0.20482099033333304</v>
      </c>
      <c r="V60" s="1779"/>
      <c r="W60" s="1879"/>
      <c r="X60" s="1780"/>
      <c r="Y60" s="1775"/>
      <c r="Z60" s="1776"/>
      <c r="AA60" s="1781"/>
      <c r="AB60" s="1782">
        <f>BJ60*AC58</f>
        <v>644.46839999999997</v>
      </c>
      <c r="AC60" s="1783">
        <f>+AB60/AQ60</f>
        <v>1</v>
      </c>
      <c r="AD60" s="1776"/>
      <c r="AE60" s="1783"/>
      <c r="AF60" s="1764"/>
      <c r="AG60" s="1765"/>
      <c r="AH60" s="1784"/>
      <c r="AI60" s="1785"/>
      <c r="AJ60" s="1785"/>
      <c r="AK60" s="1783"/>
      <c r="AL60" s="1786"/>
      <c r="AM60" s="1765"/>
      <c r="AN60" s="1783"/>
      <c r="AO60" s="1764"/>
      <c r="AP60" s="1765"/>
      <c r="AQ60" s="1783">
        <f t="shared" si="13"/>
        <v>644.46839999999997</v>
      </c>
      <c r="AR60" s="1779"/>
      <c r="AS60" s="1914"/>
      <c r="AT60" s="1787"/>
      <c r="AU60" s="1788">
        <f>BJ60*AV58/BL58</f>
        <v>34.272191488284001</v>
      </c>
      <c r="AV60" s="1770"/>
      <c r="AW60" s="1783"/>
      <c r="AX60" s="1789"/>
      <c r="AY60" s="1770"/>
      <c r="AZ60" s="1770"/>
      <c r="BA60" s="1783">
        <f>BJ60*BB58</f>
        <v>377.0908356992303</v>
      </c>
      <c r="BB60" s="1789">
        <f t="shared" si="32"/>
        <v>0.91668626195552205</v>
      </c>
      <c r="BC60" s="1770"/>
      <c r="BD60" s="1783">
        <f>BJ60*BE58</f>
        <v>0</v>
      </c>
      <c r="BE60" s="1789"/>
      <c r="BF60" s="1770"/>
      <c r="BG60" s="1790">
        <f t="shared" si="33"/>
        <v>411.36302718751432</v>
      </c>
      <c r="BH60" s="1791">
        <f t="shared" si="34"/>
        <v>0.63829821165399936</v>
      </c>
      <c r="BI60" s="1792"/>
      <c r="BJ60" s="1793">
        <f>'[1]Nelle mise en page'!$K$29</f>
        <v>644.46839999999997</v>
      </c>
      <c r="BK60" s="1794"/>
      <c r="BL60" s="1795"/>
      <c r="BM60" s="656" t="s">
        <v>402</v>
      </c>
      <c r="BN60" s="1796">
        <f t="shared" si="21"/>
        <v>1187.8320831140529</v>
      </c>
      <c r="BO60" s="1797"/>
      <c r="BP60" s="1798"/>
      <c r="BQ60" s="1799"/>
      <c r="BR60" s="1800"/>
      <c r="BV60" s="1802"/>
      <c r="BW60" s="1803"/>
      <c r="BX60" s="1799">
        <f t="shared" si="22"/>
        <v>1187.8320831140527</v>
      </c>
      <c r="BY60" s="1799">
        <f t="shared" si="23"/>
        <v>-543.36368311405272</v>
      </c>
      <c r="CA60" s="1804">
        <f t="shared" si="24"/>
        <v>0</v>
      </c>
    </row>
    <row r="61" spans="1:79" ht="28.5" thickTop="1" thickBot="1">
      <c r="A61" s="623" t="str">
        <f t="shared" ref="A61:A71" si="35">BM61</f>
        <v>Autre charges de personnel</v>
      </c>
      <c r="B61" s="624">
        <f>SUM(B62:B64)</f>
        <v>39.379608370318891</v>
      </c>
      <c r="C61" s="626"/>
      <c r="D61" s="627"/>
      <c r="E61" s="624">
        <f>SUM(E62:E64)</f>
        <v>0</v>
      </c>
      <c r="F61" s="627"/>
      <c r="G61" s="624">
        <f>SUM(G62:G64)</f>
        <v>39.379608370318891</v>
      </c>
      <c r="H61" s="625"/>
      <c r="I61" s="900" t="s">
        <v>41</v>
      </c>
      <c r="J61" s="1710"/>
      <c r="K61" s="624">
        <f>SUM(K62:K64)</f>
        <v>98.430347488282223</v>
      </c>
      <c r="L61" s="625"/>
      <c r="M61" s="1636" t="s">
        <v>41</v>
      </c>
      <c r="N61" s="624">
        <f>SUM(N62:N64)</f>
        <v>275.58656043760971</v>
      </c>
      <c r="O61" s="625"/>
      <c r="P61" s="1636" t="s">
        <v>41</v>
      </c>
      <c r="Q61" s="624">
        <f>SUM(Q62:Q64)</f>
        <v>101.76428586857497</v>
      </c>
      <c r="R61" s="625"/>
      <c r="S61" s="901" t="s">
        <v>41</v>
      </c>
      <c r="T61" s="624">
        <f>SUM(T62:T64)</f>
        <v>515.16080216478576</v>
      </c>
      <c r="U61" s="625"/>
      <c r="V61" s="630"/>
      <c r="W61" s="1879"/>
      <c r="X61" s="623" t="str">
        <f t="shared" ref="X61:X89" si="36">BM61</f>
        <v>Autre charges de personnel</v>
      </c>
      <c r="Y61" s="631">
        <f>SUM(Y62:Y64)</f>
        <v>1323.4493231613164</v>
      </c>
      <c r="Z61" s="625"/>
      <c r="AA61" s="1606"/>
      <c r="AB61" s="632">
        <f>SUM(AB62:AB64)</f>
        <v>487.04261696589845</v>
      </c>
      <c r="AC61" s="633"/>
      <c r="AD61" s="634"/>
      <c r="AE61" s="632">
        <f>SUM(AE62:AE64)</f>
        <v>34.554438965260054</v>
      </c>
      <c r="AF61" s="633"/>
      <c r="AG61" s="635"/>
      <c r="AH61" s="631">
        <f>SUM(AH62:AH64)</f>
        <v>0</v>
      </c>
      <c r="AI61" s="636"/>
      <c r="AJ61" s="637"/>
      <c r="AK61" s="631">
        <f>SUM(AK62:AK64)</f>
        <v>0</v>
      </c>
      <c r="AL61" s="638"/>
      <c r="AM61" s="639"/>
      <c r="AN61" s="640">
        <f>SUM(AN62:AN64)</f>
        <v>11.481015864928295</v>
      </c>
      <c r="AO61" s="641"/>
      <c r="AP61" s="642"/>
      <c r="AQ61" s="631">
        <f>SUM(AQ62:AQ64)</f>
        <v>1845.046379092475</v>
      </c>
      <c r="AR61" s="637"/>
      <c r="AS61" s="1914"/>
      <c r="AT61" s="644" t="str">
        <f t="shared" ref="AT61:AT66" si="37">BM61</f>
        <v>Autre charges de personnel</v>
      </c>
      <c r="AU61" s="631">
        <f>SUM(AU62:AU64)</f>
        <v>32.759916354048777</v>
      </c>
      <c r="AV61" s="637"/>
      <c r="AW61" s="903">
        <f>SUM(AW64:AW64)</f>
        <v>0</v>
      </c>
      <c r="AX61" s="904"/>
      <c r="AY61" s="905"/>
      <c r="AZ61" s="637"/>
      <c r="BA61" s="631">
        <f>SUM(BA62:BA64)</f>
        <v>57.188556851867631</v>
      </c>
      <c r="BB61" s="906"/>
      <c r="BC61" s="637"/>
      <c r="BD61" s="631">
        <f>SUM(BD62:BD64)</f>
        <v>0</v>
      </c>
      <c r="BE61" s="906"/>
      <c r="BF61" s="637"/>
      <c r="BG61" s="631">
        <f>SUM(BG62:BG64)</f>
        <v>89.9484732059164</v>
      </c>
      <c r="BH61" s="906"/>
      <c r="BI61" s="637"/>
      <c r="BJ61" s="907">
        <f>SUM(BJ62:BJ64)</f>
        <v>2450</v>
      </c>
      <c r="BK61" s="653"/>
      <c r="BL61" s="1689"/>
      <c r="BM61" s="908" t="s">
        <v>42</v>
      </c>
      <c r="BN61" s="909">
        <f>SUM(BN62:BN64)</f>
        <v>2450.1556544631776</v>
      </c>
      <c r="BO61" s="1589"/>
      <c r="BP61" s="1669"/>
      <c r="BQ61" s="24">
        <f>BD61+BA61+AW61+AU61+AN61+AK61+AH61+AE61+AB61+Y61+Q61+N61+K61+G61</f>
        <v>2461.6366703281055</v>
      </c>
      <c r="BR61" s="702">
        <f>BJ61-BQ61</f>
        <v>-11.636670328105538</v>
      </c>
      <c r="BV61" s="910" t="str">
        <f>A61</f>
        <v>Autre charges de personnel</v>
      </c>
      <c r="BX61" s="911">
        <f t="shared" si="22"/>
        <v>2450.1556544631776</v>
      </c>
      <c r="BY61" s="912">
        <f t="shared" ref="BY61:BY92" si="38">BJ61-BX61</f>
        <v>-0.15565446317759779</v>
      </c>
      <c r="BZ61" s="912">
        <f>BN61-BX61</f>
        <v>0</v>
      </c>
      <c r="CA61" s="914"/>
    </row>
    <row r="62" spans="1:79" ht="28.5" thickTop="1" thickBot="1">
      <c r="A62" s="669" t="str">
        <f t="shared" si="35"/>
        <v>Participation projet associatif</v>
      </c>
      <c r="B62" s="657">
        <f>BJ62*C62</f>
        <v>0</v>
      </c>
      <c r="C62" s="915">
        <f>D6/BL6</f>
        <v>1.6073309538905668E-2</v>
      </c>
      <c r="D62" s="916"/>
      <c r="E62" s="657">
        <f>BJ62*F62</f>
        <v>0</v>
      </c>
      <c r="F62" s="916">
        <f>$F$6/$BL$6</f>
        <v>0</v>
      </c>
      <c r="G62" s="657">
        <f t="shared" ref="G62:H64" si="39">E62+B62</f>
        <v>0</v>
      </c>
      <c r="H62" s="917">
        <f t="shared" si="39"/>
        <v>1.6073309538905668E-2</v>
      </c>
      <c r="I62" s="918"/>
      <c r="J62" s="1706"/>
      <c r="K62" s="662">
        <f>BJ62*L62</f>
        <v>0</v>
      </c>
      <c r="L62" s="919">
        <f>$M$6/$BL$6</f>
        <v>4.0175652036033564E-2</v>
      </c>
      <c r="M62" s="1632"/>
      <c r="N62" s="664">
        <f>BJ62*O62</f>
        <v>0</v>
      </c>
      <c r="O62" s="920">
        <f>$P$6/$BL$6</f>
        <v>0.11248431038269782</v>
      </c>
      <c r="P62" s="1649"/>
      <c r="Q62" s="1520">
        <f>BJ62*R62</f>
        <v>0</v>
      </c>
      <c r="R62" s="1521">
        <f>($S$6/$BL$6)</f>
        <v>4.1536443211663256E-2</v>
      </c>
      <c r="S62" s="1522"/>
      <c r="T62" s="666">
        <f t="shared" ref="T62:T64" si="40">B62+K62+N62+Q62</f>
        <v>0</v>
      </c>
      <c r="U62" s="922">
        <f>C62+L62+O62+R62</f>
        <v>0.21026971516930029</v>
      </c>
      <c r="V62" s="668"/>
      <c r="W62" s="1879"/>
      <c r="X62" s="923" t="str">
        <f t="shared" si="36"/>
        <v>Participation projet associatif</v>
      </c>
      <c r="Y62" s="924">
        <f>BJ62*Z62</f>
        <v>0</v>
      </c>
      <c r="Z62" s="925">
        <f>$AA$6/$BL$6</f>
        <v>0.54018339720870068</v>
      </c>
      <c r="AA62" s="1607"/>
      <c r="AB62" s="926">
        <f>BJ62*AC62</f>
        <v>0</v>
      </c>
      <c r="AC62" s="927">
        <f>$AD$6/$BL$6</f>
        <v>0.19879290488404017</v>
      </c>
      <c r="AD62" s="928"/>
      <c r="AE62" s="929">
        <f>BJ62*AF62</f>
        <v>0</v>
      </c>
      <c r="AF62" s="930">
        <f>$AG$6/$BL$6</f>
        <v>1.4103852638881654E-2</v>
      </c>
      <c r="AG62" s="931"/>
      <c r="AH62" s="932">
        <f>BJ62*AI62</f>
        <v>0</v>
      </c>
      <c r="AI62" s="933">
        <f>$AJ$6/$BL$6</f>
        <v>0</v>
      </c>
      <c r="AJ62" s="934"/>
      <c r="AK62" s="935">
        <f>BJ62*AL62</f>
        <v>0</v>
      </c>
      <c r="AL62" s="936">
        <f>$AM$6/$BL$6</f>
        <v>0</v>
      </c>
      <c r="AM62" s="937"/>
      <c r="AN62" s="938">
        <f>BJ62*AO62</f>
        <v>0</v>
      </c>
      <c r="AO62" s="939">
        <f>$AP$6/$BL$6</f>
        <v>4.6861289244605284E-3</v>
      </c>
      <c r="AP62" s="940"/>
      <c r="AQ62" s="941">
        <f>Y62+AB62+AE62+AH62+AK62</f>
        <v>0</v>
      </c>
      <c r="AR62" s="687"/>
      <c r="AS62" s="1914"/>
      <c r="AT62" s="942" t="str">
        <f t="shared" si="37"/>
        <v>Participation projet associatif</v>
      </c>
      <c r="AU62" s="689">
        <f>BJ62*AV6/BL6</f>
        <v>0</v>
      </c>
      <c r="AV62" s="943">
        <f>AV6/BL6</f>
        <v>1.337139443022399E-2</v>
      </c>
      <c r="AW62" s="944">
        <f>BJ62*AX62</f>
        <v>0</v>
      </c>
      <c r="AX62" s="945">
        <f>$AY$6/($BL$6)</f>
        <v>0</v>
      </c>
      <c r="AY62" s="946"/>
      <c r="AZ62" s="947"/>
      <c r="BA62" s="948">
        <f>BJ62*BB62</f>
        <v>0</v>
      </c>
      <c r="BB62" s="949">
        <f>$BC$6/($BL$6)</f>
        <v>2.3342268102803113E-2</v>
      </c>
      <c r="BC62" s="950"/>
      <c r="BD62" s="951">
        <f>BJ62*BE62</f>
        <v>0</v>
      </c>
      <c r="BE62" s="952">
        <f>$BF$6/($BL$6)</f>
        <v>0</v>
      </c>
      <c r="BF62" s="953"/>
      <c r="BG62" s="954">
        <f t="shared" ref="BG62:BG67" si="41">AU62+BA62+BD62</f>
        <v>0</v>
      </c>
      <c r="BH62" s="955" t="e">
        <f>#REF!+BB62+BE62</f>
        <v>#REF!</v>
      </c>
      <c r="BI62" s="699"/>
      <c r="BJ62" s="956">
        <v>0</v>
      </c>
      <c r="BK62" s="1747"/>
      <c r="BL62" s="1690" t="e">
        <f>BH62+#REF!+U62</f>
        <v>#REF!</v>
      </c>
      <c r="BM62" s="957" t="s">
        <v>43</v>
      </c>
      <c r="BN62" s="958">
        <f>BG62+AQ62+T62</f>
        <v>0</v>
      </c>
      <c r="BO62" s="1590"/>
      <c r="BP62" s="1670">
        <f>BJ62-BN62</f>
        <v>0</v>
      </c>
      <c r="BQ62" s="24"/>
      <c r="BR62" s="702"/>
      <c r="BV62" s="959" t="s">
        <v>43</v>
      </c>
      <c r="BX62" s="24">
        <f t="shared" si="22"/>
        <v>0</v>
      </c>
      <c r="BY62" s="24">
        <f t="shared" si="38"/>
        <v>0</v>
      </c>
      <c r="BZ62" s="15">
        <f t="shared" ref="BZ62:BZ124" si="42">BN62-BX62</f>
        <v>0</v>
      </c>
    </row>
    <row r="63" spans="1:79" ht="27.75" thickBot="1">
      <c r="A63" s="718" t="str">
        <f t="shared" si="35"/>
        <v>Indemnités stage</v>
      </c>
      <c r="B63" s="705">
        <f>BJ63*C63</f>
        <v>16.073309538905669</v>
      </c>
      <c r="C63" s="960">
        <f>D6/BL6</f>
        <v>1.6073309538905668E-2</v>
      </c>
      <c r="D63" s="961"/>
      <c r="E63" s="705">
        <f>BJ63*F63</f>
        <v>0</v>
      </c>
      <c r="F63" s="961">
        <f>$F$6/$BL$6</f>
        <v>0</v>
      </c>
      <c r="G63" s="705">
        <f t="shared" si="39"/>
        <v>16.073309538905669</v>
      </c>
      <c r="H63" s="962">
        <f t="shared" si="39"/>
        <v>1.6073309538905668E-2</v>
      </c>
      <c r="I63" s="963"/>
      <c r="J63" s="1707"/>
      <c r="K63" s="711">
        <f>BJ63*L63</f>
        <v>40.175652036033561</v>
      </c>
      <c r="L63" s="964">
        <f>$M$6/$BL$6</f>
        <v>4.0175652036033564E-2</v>
      </c>
      <c r="M63" s="1633"/>
      <c r="N63" s="713">
        <f>BJ63*O63</f>
        <v>112.48431038269783</v>
      </c>
      <c r="O63" s="965">
        <f>$P$6/$BL$6</f>
        <v>0.11248431038269782</v>
      </c>
      <c r="P63" s="1650"/>
      <c r="Q63" s="1523">
        <f>BJ63*R63</f>
        <v>41.536443211663254</v>
      </c>
      <c r="R63" s="1524">
        <f>($S$6/$BL$6)</f>
        <v>4.1536443211663256E-2</v>
      </c>
      <c r="S63" s="1525"/>
      <c r="T63" s="715">
        <f t="shared" si="40"/>
        <v>210.2697151693003</v>
      </c>
      <c r="U63" s="967">
        <f t="shared" ref="U63:U64" si="43">C63+L63+O63+R63</f>
        <v>0.21026971516930029</v>
      </c>
      <c r="V63" s="717"/>
      <c r="W63" s="1879"/>
      <c r="X63" s="923" t="str">
        <f t="shared" si="36"/>
        <v>Indemnités stage</v>
      </c>
      <c r="Y63" s="968">
        <f>BJ63*Z63</f>
        <v>540.18339720870063</v>
      </c>
      <c r="Z63" s="969">
        <f>$AA$6/$BL$6</f>
        <v>0.54018339720870068</v>
      </c>
      <c r="AA63" s="1608"/>
      <c r="AB63" s="970">
        <f>BJ63*AC63</f>
        <v>198.79290488404015</v>
      </c>
      <c r="AC63" s="971">
        <f>$AD$6/$BL$6</f>
        <v>0.19879290488404017</v>
      </c>
      <c r="AD63" s="972"/>
      <c r="AE63" s="973">
        <f>BJ63*AF63</f>
        <v>14.103852638881655</v>
      </c>
      <c r="AF63" s="974">
        <f>$AG$6/$BL$6</f>
        <v>1.4103852638881654E-2</v>
      </c>
      <c r="AG63" s="975"/>
      <c r="AH63" s="976">
        <f>BJ63*AI63</f>
        <v>0</v>
      </c>
      <c r="AI63" s="977">
        <f>$AJ$6/$BL$6</f>
        <v>0</v>
      </c>
      <c r="AJ63" s="978"/>
      <c r="AK63" s="979">
        <f>BJ63*AL63</f>
        <v>0</v>
      </c>
      <c r="AL63" s="980">
        <f>$AM$6/$BL$6</f>
        <v>0</v>
      </c>
      <c r="AM63" s="981"/>
      <c r="AN63" s="982">
        <f>BJ63*AO63</f>
        <v>4.6861289244605286</v>
      </c>
      <c r="AO63" s="983">
        <f>$AP$6/$BL$6</f>
        <v>4.6861289244605284E-3</v>
      </c>
      <c r="AP63" s="984"/>
      <c r="AQ63" s="985">
        <f>Y63+AB63+AE63+AH63+AK63</f>
        <v>753.08015473162243</v>
      </c>
      <c r="AR63" s="736"/>
      <c r="AS63" s="1914"/>
      <c r="AT63" s="801" t="str">
        <f t="shared" si="37"/>
        <v>Indemnités stage</v>
      </c>
      <c r="AU63" s="737">
        <f>BJ63*AV63</f>
        <v>13.37139443022399</v>
      </c>
      <c r="AV63" s="943">
        <f>AV6/$BL$6</f>
        <v>1.337139443022399E-2</v>
      </c>
      <c r="AW63" s="986">
        <f>BJ63*AX63</f>
        <v>0</v>
      </c>
      <c r="AX63" s="740">
        <f>$AY$6/($BL$6)</f>
        <v>0</v>
      </c>
      <c r="AY63" s="987"/>
      <c r="AZ63" s="988"/>
      <c r="BA63" s="989">
        <f>BJ63*BB63</f>
        <v>23.342268102803114</v>
      </c>
      <c r="BB63" s="990">
        <f>$BC$6/($BL$6)</f>
        <v>2.3342268102803113E-2</v>
      </c>
      <c r="BC63" s="991"/>
      <c r="BD63" s="992">
        <f>BJ63*BE63</f>
        <v>0</v>
      </c>
      <c r="BE63" s="993">
        <f>$BF$6/($BL$6)</f>
        <v>0</v>
      </c>
      <c r="BF63" s="994"/>
      <c r="BG63" s="995">
        <f t="shared" si="41"/>
        <v>36.713662533027104</v>
      </c>
      <c r="BH63" s="996" t="e">
        <f>#REF!+BB63+BE63</f>
        <v>#REF!</v>
      </c>
      <c r="BI63" s="747"/>
      <c r="BJ63" s="997">
        <v>1000</v>
      </c>
      <c r="BK63" s="1748"/>
      <c r="BL63" s="1691" t="e">
        <f>BH63+#REF!+U63</f>
        <v>#REF!</v>
      </c>
      <c r="BM63" s="957" t="s">
        <v>44</v>
      </c>
      <c r="BN63" s="958">
        <f>BG63+AQ63+T63</f>
        <v>1000.0635324339498</v>
      </c>
      <c r="BO63" s="1590"/>
      <c r="BP63" s="1670">
        <f>BJ63-BN63</f>
        <v>-6.3532433949831102E-2</v>
      </c>
      <c r="BQ63" s="24"/>
      <c r="BR63" s="702"/>
      <c r="BV63" s="998" t="s">
        <v>44</v>
      </c>
      <c r="BX63" s="24">
        <f t="shared" si="22"/>
        <v>1000.0635324339498</v>
      </c>
      <c r="BY63" s="24">
        <f t="shared" si="38"/>
        <v>-6.3532433949831102E-2</v>
      </c>
      <c r="BZ63" s="15">
        <f t="shared" si="42"/>
        <v>0</v>
      </c>
    </row>
    <row r="64" spans="1:79" ht="27.75" thickBot="1">
      <c r="A64" s="763" t="str">
        <f t="shared" si="35"/>
        <v>Médecine du travail</v>
      </c>
      <c r="B64" s="751">
        <f>BJ64*C64</f>
        <v>23.306298831413219</v>
      </c>
      <c r="C64" s="1002">
        <f>D6/BL6</f>
        <v>1.6073309538905668E-2</v>
      </c>
      <c r="D64" s="1003"/>
      <c r="E64" s="751">
        <f>BJ64*F64</f>
        <v>0</v>
      </c>
      <c r="F64" s="1003">
        <f>$F$6/$BL$6</f>
        <v>0</v>
      </c>
      <c r="G64" s="751">
        <f t="shared" si="39"/>
        <v>23.306298831413219</v>
      </c>
      <c r="H64" s="1004">
        <f t="shared" si="39"/>
        <v>1.6073309538905668E-2</v>
      </c>
      <c r="I64" s="1005"/>
      <c r="J64" s="1708"/>
      <c r="K64" s="756">
        <f>BJ64*L64</f>
        <v>58.254695452248669</v>
      </c>
      <c r="L64" s="1006">
        <f>$M$6/$BL$6</f>
        <v>4.0175652036033564E-2</v>
      </c>
      <c r="M64" s="1634"/>
      <c r="N64" s="758">
        <f>BJ64*O64</f>
        <v>163.10225005491185</v>
      </c>
      <c r="O64" s="1007">
        <f>$P$6/$BL$6</f>
        <v>0.11248431038269782</v>
      </c>
      <c r="P64" s="1651"/>
      <c r="Q64" s="1526">
        <f>BJ64*R64</f>
        <v>60.227842656911719</v>
      </c>
      <c r="R64" s="1527">
        <f>($S$6/$BL$6)</f>
        <v>4.1536443211663256E-2</v>
      </c>
      <c r="S64" s="1528"/>
      <c r="T64" s="760">
        <f t="shared" si="40"/>
        <v>304.89108699548547</v>
      </c>
      <c r="U64" s="1009">
        <f t="shared" si="43"/>
        <v>0.21026971516930029</v>
      </c>
      <c r="V64" s="762"/>
      <c r="W64" s="1879"/>
      <c r="X64" s="1010" t="str">
        <f t="shared" si="36"/>
        <v>Médecine du travail</v>
      </c>
      <c r="Y64" s="1011">
        <f>BJ64*Z64</f>
        <v>783.26592595261593</v>
      </c>
      <c r="Z64" s="1012">
        <f>$AA$6/$BL$6</f>
        <v>0.54018339720870068</v>
      </c>
      <c r="AA64" s="1609"/>
      <c r="AB64" s="1013">
        <f>BJ64*AC64</f>
        <v>288.24971208185826</v>
      </c>
      <c r="AC64" s="1014">
        <f>$AD$6/$BL$6</f>
        <v>0.19879290488404017</v>
      </c>
      <c r="AD64" s="1015"/>
      <c r="AE64" s="1016">
        <f>BJ64*AF64</f>
        <v>20.450586326378399</v>
      </c>
      <c r="AF64" s="1017">
        <f>$AG$6/$BL$6</f>
        <v>1.4103852638881654E-2</v>
      </c>
      <c r="AG64" s="1018"/>
      <c r="AH64" s="1019">
        <f>BJ64*AI64</f>
        <v>0</v>
      </c>
      <c r="AI64" s="1020">
        <f>$AJ$6/$BL$6</f>
        <v>0</v>
      </c>
      <c r="AJ64" s="1021"/>
      <c r="AK64" s="1022">
        <f>BJ64*AL64</f>
        <v>0</v>
      </c>
      <c r="AL64" s="1023">
        <f>$AM$6/$BL$6</f>
        <v>0</v>
      </c>
      <c r="AM64" s="1024"/>
      <c r="AN64" s="1025">
        <f>BJ64*AO64</f>
        <v>6.7948869404677659</v>
      </c>
      <c r="AO64" s="1026">
        <f>$AP$6/$BL$6</f>
        <v>4.6861289244605284E-3</v>
      </c>
      <c r="AP64" s="1027"/>
      <c r="AQ64" s="1028">
        <f>Y64+AB64+AE64+AH64+AK64</f>
        <v>1091.9662243608527</v>
      </c>
      <c r="AR64" s="780"/>
      <c r="AS64" s="1914"/>
      <c r="AT64" s="1029" t="str">
        <f t="shared" si="37"/>
        <v>Médecine du travail</v>
      </c>
      <c r="AU64" s="781">
        <f>BJ64*AV64</f>
        <v>19.388521923824786</v>
      </c>
      <c r="AV64" s="943">
        <f>AV6/$BL$6</f>
        <v>1.337139443022399E-2</v>
      </c>
      <c r="AW64" s="1030">
        <f>BJ64*AX64</f>
        <v>0</v>
      </c>
      <c r="AX64" s="1031">
        <f>$AY$6/($BL$6)</f>
        <v>0</v>
      </c>
      <c r="AY64" s="1032"/>
      <c r="AZ64" s="1033"/>
      <c r="BA64" s="1034">
        <f>BJ64*BB64</f>
        <v>33.846288749064513</v>
      </c>
      <c r="BB64" s="1035">
        <f>$BC$6/($BL$6)</f>
        <v>2.3342268102803113E-2</v>
      </c>
      <c r="BC64" s="1036"/>
      <c r="BD64" s="1037">
        <f>BJ64*BE64</f>
        <v>0</v>
      </c>
      <c r="BE64" s="1038">
        <f>$BF$6/($BL$6)</f>
        <v>0</v>
      </c>
      <c r="BF64" s="1039"/>
      <c r="BG64" s="1040">
        <f t="shared" si="41"/>
        <v>53.234810672889296</v>
      </c>
      <c r="BH64" s="1041" t="e">
        <f>#REF!+BB64+BE64</f>
        <v>#REF!</v>
      </c>
      <c r="BI64" s="792"/>
      <c r="BJ64" s="1042">
        <v>1450</v>
      </c>
      <c r="BK64" s="1749"/>
      <c r="BL64" s="1692" t="e">
        <f>BH64+#REF!+U64</f>
        <v>#REF!</v>
      </c>
      <c r="BM64" s="1043" t="s">
        <v>45</v>
      </c>
      <c r="BN64" s="958">
        <f>BG64+AQ64+T64</f>
        <v>1450.0921220292275</v>
      </c>
      <c r="BO64" s="1587"/>
      <c r="BP64" s="1670">
        <f>BJ64-BN64</f>
        <v>-9.2122029227539315E-2</v>
      </c>
      <c r="BQ64" s="24">
        <f>BD64+BA64+AW64+AU64+AN64+AK64+AH64+AE64+AB64+Y64+Q64+N64+K64+G64</f>
        <v>1456.8870089696948</v>
      </c>
      <c r="BR64" s="702">
        <f>BJ64-BQ64</f>
        <v>-6.8870089696947616</v>
      </c>
      <c r="BV64" s="763" t="s">
        <v>45</v>
      </c>
      <c r="BX64" s="24">
        <f t="shared" si="22"/>
        <v>1450.0921220292275</v>
      </c>
      <c r="BY64" s="24">
        <f t="shared" si="38"/>
        <v>-9.2122029227539315E-2</v>
      </c>
      <c r="BZ64" s="15">
        <f t="shared" si="42"/>
        <v>0</v>
      </c>
    </row>
    <row r="65" spans="1:79" ht="28.5" thickTop="1" thickBot="1">
      <c r="A65" s="623" t="str">
        <f t="shared" si="35"/>
        <v>Achats</v>
      </c>
      <c r="B65" s="624">
        <f>SUM(B66:B70)</f>
        <v>87.59953698703589</v>
      </c>
      <c r="C65" s="1044"/>
      <c r="D65" s="1045"/>
      <c r="E65" s="624">
        <f>SUM(E66:E70)</f>
        <v>0</v>
      </c>
      <c r="F65" s="1046"/>
      <c r="G65" s="1047">
        <f>E65+B65</f>
        <v>87.59953698703589</v>
      </c>
      <c r="H65" s="1048"/>
      <c r="I65" s="900" t="s">
        <v>41</v>
      </c>
      <c r="J65" s="1710"/>
      <c r="K65" s="1047">
        <f>SUM(K66:K70)</f>
        <v>218.95730359638293</v>
      </c>
      <c r="L65" s="1048"/>
      <c r="M65" s="1636" t="s">
        <v>41</v>
      </c>
      <c r="N65" s="1047">
        <f>SUM(N66:N70)</f>
        <v>613.0394915857031</v>
      </c>
      <c r="O65" s="1050"/>
      <c r="P65" s="1636" t="s">
        <v>41</v>
      </c>
      <c r="Q65" s="1047">
        <f>SUM(Q66:Q70)</f>
        <v>226.37361550356474</v>
      </c>
      <c r="R65" s="1050"/>
      <c r="S65" s="901" t="s">
        <v>41</v>
      </c>
      <c r="T65" s="1051">
        <f>SUM(T66:T70)</f>
        <v>1145.9699476726867</v>
      </c>
      <c r="U65" s="1052"/>
      <c r="V65" s="1053"/>
      <c r="W65" s="1879"/>
      <c r="X65" s="623" t="str">
        <f t="shared" si="36"/>
        <v>Achats</v>
      </c>
      <c r="Y65" s="1054">
        <f>SUM(Y66:Y70)</f>
        <v>3543.9995147874188</v>
      </c>
      <c r="Z65" s="902"/>
      <c r="AA65" s="1610"/>
      <c r="AB65" s="1056">
        <f>SUM(AB66:AB70)</f>
        <v>2183.4213316180189</v>
      </c>
      <c r="AC65" s="1057"/>
      <c r="AD65" s="1058"/>
      <c r="AE65" s="1054">
        <f>SUM(AE66:AE70)</f>
        <v>76.865996881905005</v>
      </c>
      <c r="AF65" s="902"/>
      <c r="AG65" s="1059"/>
      <c r="AH65" s="1060">
        <f>SUM(AH66:AH70)</f>
        <v>0</v>
      </c>
      <c r="AI65" s="902"/>
      <c r="AJ65" s="1055"/>
      <c r="AK65" s="1054">
        <f>SUM(AK66:AK70)</f>
        <v>0</v>
      </c>
      <c r="AL65" s="902"/>
      <c r="AM65" s="1059"/>
      <c r="AN65" s="1061">
        <f>SUM(AN66:AN70)</f>
        <v>25.53940263830988</v>
      </c>
      <c r="AO65" s="1057"/>
      <c r="AP65" s="1058"/>
      <c r="AQ65" s="1054">
        <f>SUM(AQ66:AQ70)</f>
        <v>5804.2868432873429</v>
      </c>
      <c r="AR65" s="1062"/>
      <c r="AS65" s="1914"/>
      <c r="AT65" s="644" t="str">
        <f t="shared" si="37"/>
        <v>Achats</v>
      </c>
      <c r="AU65" s="1047">
        <f>SUM(AU66:AU70)</f>
        <v>72.874099644720744</v>
      </c>
      <c r="AV65" s="1049" t="s">
        <v>46</v>
      </c>
      <c r="AW65" s="1063">
        <f>SUM(AW66:AW70)</f>
        <v>0</v>
      </c>
      <c r="AX65" s="1064"/>
      <c r="AY65" s="1065" t="s">
        <v>46</v>
      </c>
      <c r="AZ65" s="1049"/>
      <c r="BA65" s="1066">
        <f>SUM(BA66:BA70)</f>
        <v>127.21536116027696</v>
      </c>
      <c r="BB65" s="1067"/>
      <c r="BC65" s="1049" t="s">
        <v>46</v>
      </c>
      <c r="BD65" s="1066">
        <f>SUM(BD66:BD70)</f>
        <v>0</v>
      </c>
      <c r="BE65" s="1067"/>
      <c r="BF65" s="1049" t="s">
        <v>46</v>
      </c>
      <c r="BG65" s="631">
        <f t="shared" si="41"/>
        <v>200.08946080499771</v>
      </c>
      <c r="BH65" s="1067"/>
      <c r="BI65" s="1049"/>
      <c r="BJ65" s="1068">
        <f>SUM(BJ66:BJ70)</f>
        <v>7150</v>
      </c>
      <c r="BK65" s="1750"/>
      <c r="BL65" s="1689"/>
      <c r="BM65" s="1069" t="s">
        <v>47</v>
      </c>
      <c r="BN65" s="1070">
        <f>SUM(BN66:BN70)</f>
        <v>7150.3462517650269</v>
      </c>
      <c r="BO65" s="1589"/>
      <c r="BP65" s="1671"/>
      <c r="BQ65" s="24">
        <f>BD65+BA65+AW65+AU65+AN65+AK65+AH65+AE65+AB65+Y65+Q65+N65+K65+G65</f>
        <v>7175.8856544033379</v>
      </c>
      <c r="BR65" s="702">
        <f>BJ65-BQ65</f>
        <v>-25.885654403337867</v>
      </c>
      <c r="BV65" s="910" t="s">
        <v>47</v>
      </c>
      <c r="BX65" s="911">
        <f t="shared" si="22"/>
        <v>7150.3462517650269</v>
      </c>
      <c r="BY65" s="912">
        <f t="shared" si="38"/>
        <v>-0.34625176502686372</v>
      </c>
      <c r="BZ65" s="913">
        <f t="shared" si="42"/>
        <v>0</v>
      </c>
      <c r="CA65" s="914"/>
    </row>
    <row r="66" spans="1:79" ht="27.75" thickBot="1">
      <c r="A66" s="1071" t="str">
        <f t="shared" si="35"/>
        <v>MEF - Fourniture de carburant</v>
      </c>
      <c r="B66" s="705">
        <f>BJ66*C66</f>
        <v>18.484305969741516</v>
      </c>
      <c r="C66" s="1072">
        <f>($J$6/$BL$6)</f>
        <v>1.6073309538905668E-2</v>
      </c>
      <c r="D66" s="1073"/>
      <c r="E66" s="705">
        <f>BJ66*F66</f>
        <v>0</v>
      </c>
      <c r="F66" s="1073">
        <f>$F$6/$BL$6</f>
        <v>0</v>
      </c>
      <c r="G66" s="705">
        <f>E66+B66</f>
        <v>18.484305969741516</v>
      </c>
      <c r="H66" s="1074">
        <f>F66+C66</f>
        <v>1.6073309538905668E-2</v>
      </c>
      <c r="I66" s="1075"/>
      <c r="J66" s="1711"/>
      <c r="K66" s="711">
        <f>BJ66*L66</f>
        <v>46.2019998414386</v>
      </c>
      <c r="L66" s="964">
        <f>$M$6/$BL$6</f>
        <v>4.0175652036033564E-2</v>
      </c>
      <c r="M66" s="1633"/>
      <c r="N66" s="713">
        <f>BJ66*O66</f>
        <v>129.35695694010249</v>
      </c>
      <c r="O66" s="965">
        <f>$P$6/$BL$6</f>
        <v>0.11248431038269782</v>
      </c>
      <c r="P66" s="1650"/>
      <c r="Q66" s="1523">
        <f>BJ66*R66</f>
        <v>47.766909693412742</v>
      </c>
      <c r="R66" s="1524">
        <f>($S$6/$BL$6)</f>
        <v>4.1536443211663256E-2</v>
      </c>
      <c r="S66" s="1529"/>
      <c r="T66" s="715">
        <f t="shared" ref="T66:T67" si="44">B66+K66+N66+Q66</f>
        <v>241.81017244469535</v>
      </c>
      <c r="U66" s="966">
        <f t="shared" ref="U66:U67" si="45">C66+L66+O66+R66</f>
        <v>0.21026971516930029</v>
      </c>
      <c r="V66" s="1076"/>
      <c r="W66" s="1879"/>
      <c r="X66" s="923" t="str">
        <f t="shared" si="36"/>
        <v>MEF - Fourniture de carburant</v>
      </c>
      <c r="Y66" s="1077">
        <f>BJ66*Z66</f>
        <v>621.21090679000577</v>
      </c>
      <c r="Z66" s="1078">
        <f>$AA$6/($BL$6)</f>
        <v>0.54018339720870068</v>
      </c>
      <c r="AA66" s="1611"/>
      <c r="AB66" s="926">
        <f>BJ66*AC66</f>
        <v>228.61184061664619</v>
      </c>
      <c r="AC66" s="927">
        <f>$AD$6/($BL$6)</f>
        <v>0.19879290488404017</v>
      </c>
      <c r="AD66" s="928"/>
      <c r="AE66" s="929">
        <f>BJ66*AF66</f>
        <v>16.219430534713901</v>
      </c>
      <c r="AF66" s="1079">
        <f>$AG$6/($BL$6)</f>
        <v>1.4103852638881654E-2</v>
      </c>
      <c r="AG66" s="1080"/>
      <c r="AH66" s="932">
        <f>BJ66*AI66</f>
        <v>0</v>
      </c>
      <c r="AI66" s="1081">
        <f>$AJ$6/($BL$6)</f>
        <v>0</v>
      </c>
      <c r="AJ66" s="1082"/>
      <c r="AK66" s="935">
        <f>BJ66*AL66</f>
        <v>0</v>
      </c>
      <c r="AL66" s="1083">
        <f>$AM$6/($BL$6)</f>
        <v>0</v>
      </c>
      <c r="AM66" s="937"/>
      <c r="AN66" s="938">
        <f>BJ66*AO66</f>
        <v>5.3890482631296077</v>
      </c>
      <c r="AO66" s="1084">
        <f>$AP$6/$BL$6</f>
        <v>4.6861289244605284E-3</v>
      </c>
      <c r="AP66" s="940"/>
      <c r="AQ66" s="985">
        <f>Y66+AB66+AE66+AH66+AK66</f>
        <v>866.04217794136582</v>
      </c>
      <c r="AR66" s="736"/>
      <c r="AS66" s="1914"/>
      <c r="AT66" s="801" t="str">
        <f t="shared" si="37"/>
        <v>MEF - Fourniture de carburant</v>
      </c>
      <c r="AU66" s="737">
        <f>BJ66*AV66</f>
        <v>15.377103594757589</v>
      </c>
      <c r="AV66" s="943">
        <f>$AV$6/$BL$6</f>
        <v>1.337139443022399E-2</v>
      </c>
      <c r="AW66" s="986">
        <f>BJ66*AX66</f>
        <v>0</v>
      </c>
      <c r="AX66" s="1086">
        <f>$AY$6/($BL$6)</f>
        <v>0</v>
      </c>
      <c r="AY66" s="1087"/>
      <c r="AZ66" s="1088"/>
      <c r="BA66" s="989">
        <f>BJ66*BB66</f>
        <v>26.843608318223581</v>
      </c>
      <c r="BB66" s="990">
        <f>$BC$6/($BL$6)</f>
        <v>2.3342268102803113E-2</v>
      </c>
      <c r="BC66" s="1089"/>
      <c r="BD66" s="992">
        <f>BJ66*$BE$66</f>
        <v>0</v>
      </c>
      <c r="BE66" s="1090">
        <f>$BF$6/($BL$6)</f>
        <v>0</v>
      </c>
      <c r="BF66" s="1091"/>
      <c r="BG66" s="954">
        <f t="shared" si="41"/>
        <v>42.220711912981173</v>
      </c>
      <c r="BH66" s="996" t="e">
        <f>#REF!+BB66+BE66</f>
        <v>#REF!</v>
      </c>
      <c r="BI66" s="1092"/>
      <c r="BJ66" s="956">
        <v>1150</v>
      </c>
      <c r="BK66" s="1751"/>
      <c r="BL66" s="1681" t="e">
        <f>BH66+#REF!+U66</f>
        <v>#REF!</v>
      </c>
      <c r="BM66" s="879" t="s">
        <v>48</v>
      </c>
      <c r="BN66" s="958">
        <f t="shared" ref="BN66:BN97" si="46">BG66+AQ66+T66</f>
        <v>1150.0730622990422</v>
      </c>
      <c r="BO66" s="1591"/>
      <c r="BP66" s="1670">
        <f>BJ66-BN66</f>
        <v>-7.3062299042248924E-2</v>
      </c>
      <c r="BQ66" s="24">
        <f>BD66+BA66+AW66+AU66+AN66+AK66+AH66+AE66+AB66+Y66+Q66+N66+K66+G66</f>
        <v>1155.4621105621723</v>
      </c>
      <c r="BR66" s="702">
        <f>BJ66-BQ66</f>
        <v>-5.4621105621722563</v>
      </c>
      <c r="BV66" s="1071" t="s">
        <v>48</v>
      </c>
      <c r="BX66" s="24">
        <f t="shared" si="22"/>
        <v>1150.0730622990422</v>
      </c>
      <c r="BY66" s="24">
        <f t="shared" si="38"/>
        <v>-7.3062299042248924E-2</v>
      </c>
      <c r="BZ66" s="15">
        <f t="shared" si="42"/>
        <v>0</v>
      </c>
    </row>
    <row r="67" spans="1:79">
      <c r="A67" s="1071" t="str">
        <f>BM67</f>
        <v>MEF - Ft Petit équipement</v>
      </c>
      <c r="B67" s="705">
        <f>BJ67*C67</f>
        <v>40.183273847264168</v>
      </c>
      <c r="C67" s="1072">
        <f>($D$6/$BL$6)</f>
        <v>1.6073309538905668E-2</v>
      </c>
      <c r="D67" s="1073"/>
      <c r="E67" s="705">
        <f>BJ67*F67</f>
        <v>0</v>
      </c>
      <c r="F67" s="1073">
        <f>$F$6/$BL$6</f>
        <v>0</v>
      </c>
      <c r="G67" s="705">
        <f>E67+B67</f>
        <v>40.183273847264168</v>
      </c>
      <c r="H67" s="1074">
        <f>F67+C67</f>
        <v>1.6073309538905668E-2</v>
      </c>
      <c r="I67" s="1075"/>
      <c r="J67" s="1711"/>
      <c r="K67" s="711">
        <f>BJ67*L67</f>
        <v>100.43913009008391</v>
      </c>
      <c r="L67" s="964">
        <f>$M$6/$BL$6</f>
        <v>4.0175652036033564E-2</v>
      </c>
      <c r="M67" s="1633"/>
      <c r="N67" s="713">
        <f>BJ67*O67</f>
        <v>281.21077595674456</v>
      </c>
      <c r="O67" s="965">
        <f>$P$6/$BL$6</f>
        <v>0.11248431038269782</v>
      </c>
      <c r="P67" s="1650"/>
      <c r="Q67" s="1523">
        <f>BJ67*R67</f>
        <v>103.84110802915814</v>
      </c>
      <c r="R67" s="1524">
        <f>($S$6/$BL$6)</f>
        <v>4.1536443211663256E-2</v>
      </c>
      <c r="S67" s="1529"/>
      <c r="T67" s="715">
        <f t="shared" si="44"/>
        <v>525.67428792325074</v>
      </c>
      <c r="U67" s="966">
        <f t="shared" si="45"/>
        <v>0.21026971516930029</v>
      </c>
      <c r="V67" s="1076"/>
      <c r="W67" s="1879"/>
      <c r="X67" s="923" t="str">
        <f>BM67</f>
        <v>MEF - Ft Petit équipement</v>
      </c>
      <c r="Y67" s="1093">
        <f>BJ67*Z67</f>
        <v>1350.4584930217518</v>
      </c>
      <c r="Z67" s="1094">
        <f>$AA$6/($BL$6)</f>
        <v>0.54018339720870068</v>
      </c>
      <c r="AA67" s="1612"/>
      <c r="AB67" s="970">
        <f>BJ67*AC67</f>
        <v>496.98226221010043</v>
      </c>
      <c r="AC67" s="971">
        <f>$AD$6/($BL$6)</f>
        <v>0.19879290488404017</v>
      </c>
      <c r="AD67" s="972"/>
      <c r="AE67" s="973">
        <f>BJ67*AF67</f>
        <v>35.259631597204134</v>
      </c>
      <c r="AF67" s="1095">
        <f>$AG$6/($BL$6)</f>
        <v>1.4103852638881654E-2</v>
      </c>
      <c r="AG67" s="1096"/>
      <c r="AH67" s="976">
        <f>BJ67*AI67</f>
        <v>0</v>
      </c>
      <c r="AI67" s="1097">
        <f>$AJ$6/($BL$6)</f>
        <v>0</v>
      </c>
      <c r="AJ67" s="1098"/>
      <c r="AK67" s="979">
        <f>BJ67*AL67</f>
        <v>0</v>
      </c>
      <c r="AL67" s="1099">
        <f>$AM$6/($BL$6)</f>
        <v>0</v>
      </c>
      <c r="AM67" s="981"/>
      <c r="AN67" s="982">
        <f>BJ67*AO67</f>
        <v>11.71532231115132</v>
      </c>
      <c r="AO67" s="1100">
        <f>$AP$6/$BL$6</f>
        <v>4.6861289244605284E-3</v>
      </c>
      <c r="AP67" s="984"/>
      <c r="AQ67" s="985">
        <f>Y67+AB67+AE67+AH67+AK67</f>
        <v>1882.7003868290562</v>
      </c>
      <c r="AR67" s="736"/>
      <c r="AS67" s="1914"/>
      <c r="AT67" s="801"/>
      <c r="AU67" s="737">
        <f>BJ67*AV67</f>
        <v>33.428486075559974</v>
      </c>
      <c r="AV67" s="943">
        <f>$AV$6/$BL$6</f>
        <v>1.337139443022399E-2</v>
      </c>
      <c r="AW67" s="986">
        <f>BJ67*AX67</f>
        <v>0</v>
      </c>
      <c r="AX67" s="1086">
        <f>AY6/BL6</f>
        <v>0</v>
      </c>
      <c r="AY67" s="1087"/>
      <c r="AZ67" s="1088"/>
      <c r="BA67" s="989">
        <f>BJ67*BB67</f>
        <v>58.35567025700778</v>
      </c>
      <c r="BB67" s="990">
        <f>$BC$6/($BL$6)</f>
        <v>2.3342268102803113E-2</v>
      </c>
      <c r="BC67" s="1089"/>
      <c r="BD67" s="992">
        <f>BJ67*BE67</f>
        <v>0</v>
      </c>
      <c r="BE67" s="1090">
        <f>$BF$6/($BL$6)</f>
        <v>0</v>
      </c>
      <c r="BF67" s="1091"/>
      <c r="BG67" s="995">
        <f t="shared" si="41"/>
        <v>91.784156332567761</v>
      </c>
      <c r="BH67" s="996" t="e">
        <f>#REF!+BB67+BE67</f>
        <v>#REF!</v>
      </c>
      <c r="BI67" s="1092"/>
      <c r="BJ67" s="997">
        <v>2500</v>
      </c>
      <c r="BK67" s="1748"/>
      <c r="BL67" s="1681" t="e">
        <f>BH67+#REF!+U67</f>
        <v>#REF!</v>
      </c>
      <c r="BM67" s="957" t="s">
        <v>49</v>
      </c>
      <c r="BN67" s="958">
        <f t="shared" si="46"/>
        <v>2500.1588310848747</v>
      </c>
      <c r="BO67" s="1591"/>
      <c r="BP67" s="1670">
        <f>BJ67-BN67</f>
        <v>-0.15883108487469144</v>
      </c>
      <c r="BQ67" s="24"/>
      <c r="BR67" s="702"/>
      <c r="BV67" s="1071"/>
      <c r="BX67" s="24">
        <f t="shared" si="22"/>
        <v>2500.1588310848751</v>
      </c>
      <c r="BY67" s="24">
        <f t="shared" si="38"/>
        <v>-0.15883108487514619</v>
      </c>
      <c r="BZ67" s="15">
        <f t="shared" si="42"/>
        <v>0</v>
      </c>
    </row>
    <row r="68" spans="1:79" ht="27.75" thickBot="1">
      <c r="A68" s="718" t="str">
        <f>BM68</f>
        <v>ML - Ft Petit équipement</v>
      </c>
      <c r="B68" s="1101"/>
      <c r="C68" s="1102"/>
      <c r="D68" s="1103"/>
      <c r="E68" s="1104"/>
      <c r="F68" s="1105"/>
      <c r="G68" s="1104"/>
      <c r="H68" s="1106"/>
      <c r="I68" s="1107"/>
      <c r="J68" s="1712"/>
      <c r="K68" s="1101"/>
      <c r="L68" s="1108"/>
      <c r="M68" s="1637"/>
      <c r="N68" s="1101"/>
      <c r="O68" s="1110"/>
      <c r="P68" s="1637"/>
      <c r="Q68" s="1101"/>
      <c r="R68" s="1108"/>
      <c r="S68" s="1111"/>
      <c r="T68" s="1101"/>
      <c r="U68" s="1108"/>
      <c r="V68" s="1112"/>
      <c r="W68" s="1879"/>
      <c r="X68" s="923" t="str">
        <f>BM68</f>
        <v>ML - Ft Petit équipement</v>
      </c>
      <c r="Y68" s="968">
        <f>BJ68*Z68</f>
        <v>600</v>
      </c>
      <c r="Z68" s="1113">
        <v>1</v>
      </c>
      <c r="AA68" s="1613"/>
      <c r="AB68" s="1114"/>
      <c r="AC68" s="1115"/>
      <c r="AD68" s="1116"/>
      <c r="AE68" s="1117"/>
      <c r="AF68" s="1115"/>
      <c r="AG68" s="1116"/>
      <c r="AH68" s="1117"/>
      <c r="AI68" s="1115"/>
      <c r="AJ68" s="1116"/>
      <c r="AK68" s="1117"/>
      <c r="AL68" s="1115"/>
      <c r="AM68" s="1116"/>
      <c r="AN68" s="999"/>
      <c r="AO68" s="1000"/>
      <c r="AP68" s="1001"/>
      <c r="AQ68" s="985">
        <f>Y68+AB68+AE68+AH68+AK68</f>
        <v>600</v>
      </c>
      <c r="AR68" s="736"/>
      <c r="AS68" s="1914"/>
      <c r="AT68" s="801"/>
      <c r="AU68" s="1118"/>
      <c r="AV68" s="1119"/>
      <c r="AW68" s="1120"/>
      <c r="AX68" s="1000"/>
      <c r="AY68" s="1121"/>
      <c r="AZ68" s="1122"/>
      <c r="BA68" s="999"/>
      <c r="BB68" s="1123"/>
      <c r="BC68" s="1119"/>
      <c r="BD68" s="999"/>
      <c r="BE68" s="1000"/>
      <c r="BF68" s="1119"/>
      <c r="BG68" s="999"/>
      <c r="BH68" s="1000"/>
      <c r="BI68" s="1124"/>
      <c r="BJ68" s="997">
        <v>600</v>
      </c>
      <c r="BK68" s="1748"/>
      <c r="BL68" s="1681" t="e">
        <f>BH68+#REF!+U68</f>
        <v>#REF!</v>
      </c>
      <c r="BM68" s="957" t="s">
        <v>50</v>
      </c>
      <c r="BN68" s="958">
        <f t="shared" si="46"/>
        <v>600</v>
      </c>
      <c r="BO68" s="1591"/>
      <c r="BP68" s="1670">
        <f>BJ68-BN68</f>
        <v>0</v>
      </c>
      <c r="BQ68" s="24"/>
      <c r="BR68" s="702"/>
      <c r="BV68" s="1071"/>
      <c r="BX68" s="24">
        <f t="shared" si="22"/>
        <v>600</v>
      </c>
      <c r="BY68" s="24">
        <f t="shared" si="38"/>
        <v>0</v>
      </c>
      <c r="BZ68" s="15">
        <f t="shared" si="42"/>
        <v>0</v>
      </c>
    </row>
    <row r="69" spans="1:79">
      <c r="A69" s="1071" t="str">
        <f>BM69</f>
        <v xml:space="preserve">MEF - Ft administratives </v>
      </c>
      <c r="B69" s="705">
        <f>BJ69*C69</f>
        <v>28.931957170030202</v>
      </c>
      <c r="C69" s="1072">
        <f>($D$6/$BL$6)</f>
        <v>1.6073309538905668E-2</v>
      </c>
      <c r="D69" s="1073"/>
      <c r="E69" s="705"/>
      <c r="F69" s="1073"/>
      <c r="G69" s="705"/>
      <c r="H69" s="1074"/>
      <c r="I69" s="1075"/>
      <c r="J69" s="1711"/>
      <c r="K69" s="711">
        <f>BJ69*L69</f>
        <v>72.316173664860415</v>
      </c>
      <c r="L69" s="964">
        <f>$M$6/$BL$6</f>
        <v>4.0175652036033564E-2</v>
      </c>
      <c r="M69" s="1633"/>
      <c r="N69" s="713">
        <f>BJ69*O69</f>
        <v>202.47175868885608</v>
      </c>
      <c r="O69" s="965">
        <f>$P$6/$BL$6</f>
        <v>0.11248431038269782</v>
      </c>
      <c r="P69" s="1650"/>
      <c r="Q69" s="1523">
        <f>BJ69*R69</f>
        <v>74.765597780993858</v>
      </c>
      <c r="R69" s="1524">
        <f>($S$6/$BL$6)</f>
        <v>4.1536443211663256E-2</v>
      </c>
      <c r="S69" s="1529"/>
      <c r="T69" s="715">
        <f t="shared" ref="T69" si="47">B69+K69+N69+Q69</f>
        <v>378.48548730474056</v>
      </c>
      <c r="U69" s="966">
        <f>C69+L69+O69+R69</f>
        <v>0.21026971516930029</v>
      </c>
      <c r="V69" s="1076"/>
      <c r="W69" s="1879"/>
      <c r="X69" s="923" t="str">
        <f>BM69</f>
        <v xml:space="preserve">MEF - Ft administratives </v>
      </c>
      <c r="Y69" s="968">
        <f>BJ69*Z69</f>
        <v>972.33011497566122</v>
      </c>
      <c r="Z69" s="969">
        <f>$AA$6/($BL6)</f>
        <v>0.54018339720870068</v>
      </c>
      <c r="AA69" s="1608"/>
      <c r="AB69" s="970">
        <f>BJ69*AC69</f>
        <v>357.82722879127232</v>
      </c>
      <c r="AC69" s="971">
        <f>$AD$6/($BL6)</f>
        <v>0.19879290488404017</v>
      </c>
      <c r="AD69" s="972"/>
      <c r="AE69" s="973">
        <f>BJ69*AF69</f>
        <v>25.386934749986978</v>
      </c>
      <c r="AF69" s="974">
        <f>$AG$6/($BL6)</f>
        <v>1.4103852638881654E-2</v>
      </c>
      <c r="AG69" s="975"/>
      <c r="AH69" s="976">
        <f>BJ69*AI69</f>
        <v>0</v>
      </c>
      <c r="AI69" s="1097">
        <f>$AJ$6/($BL$6)</f>
        <v>0</v>
      </c>
      <c r="AJ69" s="1098"/>
      <c r="AK69" s="1114"/>
      <c r="AL69" s="1115"/>
      <c r="AM69" s="1116"/>
      <c r="AN69" s="982">
        <f>BJ69*AO69</f>
        <v>8.4350320640289507</v>
      </c>
      <c r="AO69" s="1100">
        <f>$AP$6/$BL$6</f>
        <v>4.6861289244605284E-3</v>
      </c>
      <c r="AP69" s="984"/>
      <c r="AQ69" s="985">
        <f>Y69+AB69+AE69+AH69+AK69</f>
        <v>1355.5442785169205</v>
      </c>
      <c r="AR69" s="736"/>
      <c r="AS69" s="1914"/>
      <c r="AT69" s="801"/>
      <c r="AU69" s="737">
        <f>BJ69*AV69</f>
        <v>24.068509974403181</v>
      </c>
      <c r="AV69" s="943">
        <f>$AV$6/$BL$6</f>
        <v>1.337139443022399E-2</v>
      </c>
      <c r="AW69" s="986">
        <f>BJ69*AX69</f>
        <v>0</v>
      </c>
      <c r="AX69" s="1086">
        <f>AY6/BL6</f>
        <v>0</v>
      </c>
      <c r="AY69" s="1087"/>
      <c r="AZ69" s="1088"/>
      <c r="BA69" s="989">
        <f>BJ69*BB69</f>
        <v>42.016082585045602</v>
      </c>
      <c r="BB69" s="990">
        <f>$BC$6/($BL$6)</f>
        <v>2.3342268102803113E-2</v>
      </c>
      <c r="BC69" s="1089"/>
      <c r="BD69" s="992">
        <f>BJ69*BE69</f>
        <v>0</v>
      </c>
      <c r="BE69" s="1090">
        <f>$BF$6/($BL6)</f>
        <v>0</v>
      </c>
      <c r="BF69" s="1091"/>
      <c r="BG69" s="995">
        <f>AU69+BA69+BD69</f>
        <v>66.08459255944878</v>
      </c>
      <c r="BH69" s="996" t="e">
        <f>#REF!+BB69+BE69</f>
        <v>#REF!</v>
      </c>
      <c r="BI69" s="1125"/>
      <c r="BJ69" s="997">
        <v>1800</v>
      </c>
      <c r="BK69" s="1748"/>
      <c r="BL69" s="1681" t="e">
        <f>BH69+#REF!+U69</f>
        <v>#REF!</v>
      </c>
      <c r="BM69" s="957" t="s">
        <v>51</v>
      </c>
      <c r="BN69" s="958">
        <f t="shared" si="46"/>
        <v>1800.1143583811099</v>
      </c>
      <c r="BO69" s="1591"/>
      <c r="BP69" s="1670">
        <f>BJ69-BN69</f>
        <v>-0.11435838110992336</v>
      </c>
      <c r="BQ69" s="24"/>
      <c r="BR69" s="702"/>
      <c r="BV69" s="1071"/>
      <c r="BX69" s="24">
        <f t="shared" si="22"/>
        <v>1800.1143583811099</v>
      </c>
      <c r="BY69" s="24">
        <f t="shared" si="38"/>
        <v>-0.11435838110992336</v>
      </c>
      <c r="BZ69" s="24">
        <f t="shared" si="42"/>
        <v>0</v>
      </c>
    </row>
    <row r="70" spans="1:79" ht="27.75" thickBot="1">
      <c r="A70" s="1071" t="s">
        <v>52</v>
      </c>
      <c r="B70" s="1101"/>
      <c r="C70" s="1102"/>
      <c r="D70" s="1103"/>
      <c r="E70" s="1101"/>
      <c r="F70" s="1103"/>
      <c r="G70" s="1101"/>
      <c r="H70" s="1108"/>
      <c r="I70" s="1109"/>
      <c r="J70" s="1713"/>
      <c r="K70" s="999"/>
      <c r="L70" s="1000"/>
      <c r="M70" s="1638"/>
      <c r="N70" s="1126"/>
      <c r="O70" s="1127"/>
      <c r="P70" s="1653"/>
      <c r="Q70" s="999"/>
      <c r="R70" s="1000"/>
      <c r="S70" s="1128"/>
      <c r="T70" s="1129"/>
      <c r="U70" s="1130"/>
      <c r="V70" s="1112"/>
      <c r="W70" s="1879"/>
      <c r="X70" s="1010" t="s">
        <v>53</v>
      </c>
      <c r="Y70" s="1131"/>
      <c r="Z70" s="1132"/>
      <c r="AA70" s="1614"/>
      <c r="AB70" s="1013">
        <f>BJ70*AC70</f>
        <v>1100</v>
      </c>
      <c r="AC70" s="1014">
        <v>1</v>
      </c>
      <c r="AD70" s="1015"/>
      <c r="AE70" s="1133"/>
      <c r="AF70" s="1134"/>
      <c r="AG70" s="1135"/>
      <c r="AH70" s="1133"/>
      <c r="AI70" s="1134"/>
      <c r="AJ70" s="1135"/>
      <c r="AK70" s="1133"/>
      <c r="AL70" s="1134"/>
      <c r="AM70" s="1135"/>
      <c r="AN70" s="1133"/>
      <c r="AO70" s="1134"/>
      <c r="AP70" s="1135"/>
      <c r="AQ70" s="1028">
        <f>Y70+AB70+AE70+AH70+AK70</f>
        <v>1100</v>
      </c>
      <c r="AR70" s="780"/>
      <c r="AS70" s="1914"/>
      <c r="AT70" s="801"/>
      <c r="AU70" s="1136"/>
      <c r="AV70" s="1137"/>
      <c r="AW70" s="1120"/>
      <c r="AX70" s="1000"/>
      <c r="AY70" s="1121"/>
      <c r="AZ70" s="1138"/>
      <c r="BA70" s="1131"/>
      <c r="BB70" s="1139"/>
      <c r="BC70" s="1137"/>
      <c r="BD70" s="1131"/>
      <c r="BE70" s="1132"/>
      <c r="BF70" s="1137"/>
      <c r="BG70" s="1140"/>
      <c r="BH70" s="1141"/>
      <c r="BI70" s="1142"/>
      <c r="BJ70" s="997">
        <v>1100</v>
      </c>
      <c r="BK70" s="1752"/>
      <c r="BL70" s="1682" t="e">
        <f>BH70+#REF!+U70</f>
        <v>#REF!</v>
      </c>
      <c r="BM70" s="957" t="s">
        <v>53</v>
      </c>
      <c r="BN70" s="958">
        <f t="shared" si="46"/>
        <v>1100</v>
      </c>
      <c r="BO70" s="1591"/>
      <c r="BP70" s="1670">
        <f>BJ70-BN70</f>
        <v>0</v>
      </c>
      <c r="BQ70" s="24"/>
      <c r="BR70" s="702"/>
      <c r="BV70" s="1071"/>
      <c r="BX70" s="24">
        <f t="shared" si="22"/>
        <v>1100</v>
      </c>
      <c r="BY70" s="24">
        <f t="shared" si="38"/>
        <v>0</v>
      </c>
      <c r="BZ70" s="15">
        <f t="shared" si="42"/>
        <v>0</v>
      </c>
    </row>
    <row r="71" spans="1:79" ht="28.5" thickTop="1" thickBot="1">
      <c r="A71" s="623" t="str">
        <f t="shared" si="35"/>
        <v>Services extérieurs</v>
      </c>
      <c r="B71" s="624">
        <f>SUM(B72:B91)</f>
        <v>1907.2197830281746</v>
      </c>
      <c r="C71" s="1044"/>
      <c r="D71" s="1045"/>
      <c r="E71" s="624">
        <f>SUM(E72:E91)</f>
        <v>0</v>
      </c>
      <c r="F71" s="1046"/>
      <c r="G71" s="1047">
        <f>E71+B71</f>
        <v>1907.2197830281746</v>
      </c>
      <c r="H71" s="1048"/>
      <c r="I71" s="900" t="s">
        <v>41</v>
      </c>
      <c r="J71" s="1710"/>
      <c r="K71" s="1047">
        <f>SUM(K72:K91)</f>
        <v>4767.1450720033981</v>
      </c>
      <c r="L71" s="1048"/>
      <c r="M71" s="1636" t="s">
        <v>41</v>
      </c>
      <c r="N71" s="1047">
        <f>SUM(N72:N91)</f>
        <v>13347.114452246715</v>
      </c>
      <c r="O71" s="1050"/>
      <c r="P71" s="1636" t="s">
        <v>41</v>
      </c>
      <c r="Q71" s="1047">
        <f>SUM(Q72:Q91)</f>
        <v>5352.6132403634419</v>
      </c>
      <c r="R71" s="1050"/>
      <c r="S71" s="901" t="s">
        <v>41</v>
      </c>
      <c r="T71" s="1051">
        <f>SUM(T72:T91)</f>
        <v>25374.092547641725</v>
      </c>
      <c r="U71" s="1052"/>
      <c r="V71" s="1053"/>
      <c r="W71" s="1879"/>
      <c r="X71" s="1143" t="str">
        <f t="shared" si="36"/>
        <v>Services extérieurs</v>
      </c>
      <c r="Y71" s="1054">
        <f>SUM(Y72:Y92)</f>
        <v>27931.034193628784</v>
      </c>
      <c r="Z71" s="902"/>
      <c r="AA71" s="1615"/>
      <c r="AB71" s="1144">
        <f>SUM(AB72:AB92)</f>
        <v>21804.660559436685</v>
      </c>
      <c r="AC71" s="902"/>
      <c r="AD71" s="1055"/>
      <c r="AE71" s="1054">
        <f>SUM(AE72:AE92)</f>
        <v>729.26193650914399</v>
      </c>
      <c r="AF71" s="902"/>
      <c r="AG71" s="1059"/>
      <c r="AH71" s="1060">
        <f>SUM(AH72:AH92)</f>
        <v>0</v>
      </c>
      <c r="AI71" s="902"/>
      <c r="AJ71" s="1055"/>
      <c r="AK71" s="1054">
        <f>SUM(AK72:AK92)</f>
        <v>0</v>
      </c>
      <c r="AL71" s="902"/>
      <c r="AM71" s="1059"/>
      <c r="AN71" s="1060">
        <f>SUM(AN79:AN90)</f>
        <v>100.32718756524028</v>
      </c>
      <c r="AO71" s="902"/>
      <c r="AP71" s="902"/>
      <c r="AQ71" s="1054">
        <f>SUM(AQ72:AQ92)</f>
        <v>50464.95668957461</v>
      </c>
      <c r="AR71" s="1062"/>
      <c r="AS71" s="1914"/>
      <c r="AT71" s="1145" t="str">
        <f t="shared" ref="AT71:AT96" si="48">BM71</f>
        <v>Services extérieurs</v>
      </c>
      <c r="AU71" s="1047">
        <f>SUM(AU72:AU91)</f>
        <v>552.61775922564766</v>
      </c>
      <c r="AV71" s="1049" t="s">
        <v>46</v>
      </c>
      <c r="AW71" s="1063">
        <f>SUM(AW72:AW91)</f>
        <v>0</v>
      </c>
      <c r="AX71" s="1064"/>
      <c r="AY71" s="1065" t="s">
        <v>46</v>
      </c>
      <c r="AZ71" s="1049"/>
      <c r="BA71" s="1066">
        <f>SUM(BA72:BA91)</f>
        <v>2769.736711574873</v>
      </c>
      <c r="BB71" s="1067"/>
      <c r="BC71" s="1049" t="s">
        <v>46</v>
      </c>
      <c r="BD71" s="1047">
        <f>SUM(BD72:BD91)</f>
        <v>0</v>
      </c>
      <c r="BE71" s="1146"/>
      <c r="BF71" s="1049" t="s">
        <v>46</v>
      </c>
      <c r="BG71" s="1066">
        <f>SUM(BG72:BG91)</f>
        <v>3322.3544708005206</v>
      </c>
      <c r="BH71" s="1147"/>
      <c r="BI71" s="1049"/>
      <c r="BJ71" s="1068">
        <f>SUM(BJ72:BJ92)</f>
        <v>80194.388766920078</v>
      </c>
      <c r="BK71" s="1750"/>
      <c r="BL71" s="1689"/>
      <c r="BM71" s="1069" t="s">
        <v>54</v>
      </c>
      <c r="BN71" s="1070">
        <f t="shared" si="46"/>
        <v>79161.403708016849</v>
      </c>
      <c r="BO71" s="1589"/>
      <c r="BP71" s="1671"/>
      <c r="BQ71" s="24">
        <f t="shared" ref="BQ71:BQ80" si="49">BD71+BA71+AW71+AU71+AN71+AK71+AH71+AE71+AB71+Y71+Q71+N71+K71+G71</f>
        <v>79261.730895582106</v>
      </c>
      <c r="BR71" s="702">
        <f t="shared" ref="BR71:BR80" si="50">BJ71-BQ71</f>
        <v>932.6578713379713</v>
      </c>
      <c r="BV71" s="910" t="s">
        <v>54</v>
      </c>
      <c r="BX71" s="911">
        <f t="shared" ref="BX71:BX102" si="51">B71+K71+N71+Q71+Y71+AB71+AE71+AH71+AU71+BA71+BD71</f>
        <v>79161.403708016864</v>
      </c>
      <c r="BY71" s="912">
        <f t="shared" si="38"/>
        <v>1032.9850589032139</v>
      </c>
      <c r="BZ71" s="913">
        <f t="shared" si="42"/>
        <v>0</v>
      </c>
      <c r="CA71" s="914"/>
    </row>
    <row r="72" spans="1:79" s="1169" customFormat="1" ht="30.75" thickTop="1">
      <c r="A72" s="1148" t="str">
        <f t="shared" ref="A72:A92" si="52">BV72</f>
        <v xml:space="preserve">ML - Location immobilière </v>
      </c>
      <c r="B72" s="1149"/>
      <c r="C72" s="1150"/>
      <c r="D72" s="1151"/>
      <c r="E72" s="1149"/>
      <c r="F72" s="1151"/>
      <c r="G72" s="1149"/>
      <c r="H72" s="1152"/>
      <c r="I72" s="1153"/>
      <c r="J72" s="1714"/>
      <c r="K72" s="1149"/>
      <c r="L72" s="1152"/>
      <c r="M72" s="1639"/>
      <c r="N72" s="1149"/>
      <c r="O72" s="1154"/>
      <c r="P72" s="1639"/>
      <c r="Q72" s="1149"/>
      <c r="R72" s="1152"/>
      <c r="S72" s="1155"/>
      <c r="T72" s="1149"/>
      <c r="U72" s="1152"/>
      <c r="V72" s="1156"/>
      <c r="W72" s="1879"/>
      <c r="X72" s="1157" t="str">
        <f t="shared" si="36"/>
        <v>ML - Location immobilière + charges</v>
      </c>
      <c r="Y72" s="1077">
        <f>BJ72*Z72</f>
        <v>16439.246154271586</v>
      </c>
      <c r="Z72" s="1078">
        <f>AA6/AR6</f>
        <v>0.71729867506760614</v>
      </c>
      <c r="AA72" s="1611"/>
      <c r="AB72" s="926">
        <f>BJ72*AC72</f>
        <v>6049.8073691236314</v>
      </c>
      <c r="AC72" s="927">
        <f>$AD$6/($AR$6)</f>
        <v>0.26397310251109274</v>
      </c>
      <c r="AD72" s="928"/>
      <c r="AE72" s="929">
        <f>BJ72*AF72</f>
        <v>429.21849588903643</v>
      </c>
      <c r="AF72" s="1079">
        <f>AG6/AR6</f>
        <v>1.8728222421301073E-2</v>
      </c>
      <c r="AG72" s="1080"/>
      <c r="AH72" s="932">
        <f>BJ72*AI72</f>
        <v>0</v>
      </c>
      <c r="AI72" s="1081">
        <f>AJ6/AR6</f>
        <v>0</v>
      </c>
      <c r="AJ72" s="1082"/>
      <c r="AK72" s="935">
        <f>BJ72*AL72</f>
        <v>0</v>
      </c>
      <c r="AL72" s="1083">
        <f>$AM$6/$AR$6</f>
        <v>0</v>
      </c>
      <c r="AM72" s="937"/>
      <c r="AN72" s="938">
        <f>BJ72*AO72</f>
        <v>142.61161542159624</v>
      </c>
      <c r="AO72" s="1084">
        <f>$AP$6/$AR$6</f>
        <v>6.2226164041336851E-3</v>
      </c>
      <c r="AP72" s="940"/>
      <c r="AQ72" s="941">
        <f>Y72+AB72+AE72+AH72+AK72</f>
        <v>22918.272019284253</v>
      </c>
      <c r="AR72" s="687"/>
      <c r="AS72" s="1914"/>
      <c r="AT72" s="942" t="str">
        <f t="shared" si="48"/>
        <v>ML - Location immobilière + charges</v>
      </c>
      <c r="AU72" s="1158"/>
      <c r="AV72" s="1160"/>
      <c r="AW72" s="1161"/>
      <c r="AX72" s="1162"/>
      <c r="AY72" s="1163"/>
      <c r="AZ72" s="1164"/>
      <c r="BA72" s="1165"/>
      <c r="BB72" s="1166"/>
      <c r="BC72" s="1160"/>
      <c r="BD72" s="1165"/>
      <c r="BE72" s="1159"/>
      <c r="BF72" s="1160"/>
      <c r="BG72" s="1165"/>
      <c r="BH72" s="1159"/>
      <c r="BI72" s="1167"/>
      <c r="BJ72" s="956">
        <f>(22802*108.41)/107.86</f>
        <v>22918.272019284257</v>
      </c>
      <c r="BK72" s="1747"/>
      <c r="BL72" s="1693" t="e">
        <f>BH72+#REF!+U72</f>
        <v>#REF!</v>
      </c>
      <c r="BM72" s="879" t="s">
        <v>55</v>
      </c>
      <c r="BN72" s="1168">
        <f t="shared" si="46"/>
        <v>22918.272019284253</v>
      </c>
      <c r="BO72" s="1591"/>
      <c r="BP72" s="1672">
        <f t="shared" ref="BP72:BP92" si="53">BJ72-BN72</f>
        <v>0</v>
      </c>
      <c r="BQ72" s="24">
        <f t="shared" si="49"/>
        <v>23060.88363470585</v>
      </c>
      <c r="BR72" s="702">
        <f t="shared" si="50"/>
        <v>-142.61161542159243</v>
      </c>
      <c r="BS72" s="15"/>
      <c r="BT72" s="15"/>
      <c r="BU72" s="15"/>
      <c r="BV72" s="1148" t="s">
        <v>56</v>
      </c>
      <c r="BX72" s="24">
        <f t="shared" si="51"/>
        <v>22918.272019284253</v>
      </c>
      <c r="BY72" s="24">
        <f t="shared" si="38"/>
        <v>0</v>
      </c>
      <c r="BZ72" s="1169">
        <f t="shared" si="42"/>
        <v>0</v>
      </c>
    </row>
    <row r="73" spans="1:79" ht="32.25" customHeight="1">
      <c r="A73" s="1071" t="str">
        <f t="shared" si="52"/>
        <v xml:space="preserve">MDE - Location immobilière </v>
      </c>
      <c r="B73" s="705">
        <f>BJ73*C73</f>
        <v>1650.6093962395457</v>
      </c>
      <c r="C73" s="1072">
        <f>($D$6/($V$6+BI6))</f>
        <v>6.5078507260021998E-2</v>
      </c>
      <c r="D73" s="1073"/>
      <c r="E73" s="705">
        <f>BJ73*F73</f>
        <v>0</v>
      </c>
      <c r="F73" s="1073">
        <f>$F$6/($V$6+BI6)</f>
        <v>0</v>
      </c>
      <c r="G73" s="705">
        <f>E73+B73</f>
        <v>1650.6093962395457</v>
      </c>
      <c r="H73" s="1074">
        <f>F73+C73</f>
        <v>6.5078507260021998E-2</v>
      </c>
      <c r="I73" s="1075"/>
      <c r="J73" s="1711"/>
      <c r="K73" s="1170">
        <f>BJ73*L73</f>
        <v>4125.7407872481226</v>
      </c>
      <c r="L73" s="964">
        <f>$M$6/($V$6+BI6)</f>
        <v>0.16266540853795675</v>
      </c>
      <c r="M73" s="1633"/>
      <c r="N73" s="713">
        <f>BJ73*O73</f>
        <v>11551.302436986944</v>
      </c>
      <c r="O73" s="965">
        <f>$P$6/($V$6+BI6)</f>
        <v>0.45543271546908581</v>
      </c>
      <c r="P73" s="1650"/>
      <c r="Q73" s="1523">
        <f>BJ73*R73</f>
        <v>4265.4839244892382</v>
      </c>
      <c r="R73" s="1524">
        <f>$S$6/($V$6+BI6)</f>
        <v>0.16817505533398427</v>
      </c>
      <c r="S73" s="1529"/>
      <c r="T73" s="715">
        <f t="shared" ref="T73" si="54">B73+K73+N73+Q73</f>
        <v>21593.136544963851</v>
      </c>
      <c r="U73" s="966">
        <f>C73+L73+O73+R73</f>
        <v>0.85135168660104887</v>
      </c>
      <c r="V73" s="1076"/>
      <c r="W73" s="1879"/>
      <c r="X73" s="923" t="str">
        <f t="shared" si="36"/>
        <v>MDE-CBE - Location immobilière + charges</v>
      </c>
      <c r="Y73" s="999"/>
      <c r="Z73" s="1000"/>
      <c r="AA73" s="1616"/>
      <c r="AB73" s="1118"/>
      <c r="AC73" s="1171"/>
      <c r="AD73" s="1001"/>
      <c r="AE73" s="999"/>
      <c r="AF73" s="1000"/>
      <c r="AG73" s="1001"/>
      <c r="AH73" s="999"/>
      <c r="AI73" s="1000"/>
      <c r="AJ73" s="1001"/>
      <c r="AK73" s="999"/>
      <c r="AL73" s="1000"/>
      <c r="AM73" s="1001"/>
      <c r="AN73" s="999"/>
      <c r="AO73" s="1000"/>
      <c r="AP73" s="1001"/>
      <c r="AQ73" s="999"/>
      <c r="AR73" s="1172"/>
      <c r="AS73" s="1914"/>
      <c r="AT73" s="801" t="str">
        <f t="shared" si="48"/>
        <v>MDE-CBE - Location immobilière + charges</v>
      </c>
      <c r="AU73" s="737">
        <f>BJ73*AV73</f>
        <v>339.14344714712166</v>
      </c>
      <c r="AV73" s="1085">
        <f>$AV$6/$BL$6</f>
        <v>1.337139443022399E-2</v>
      </c>
      <c r="AW73" s="986">
        <f>BJ73*AX73</f>
        <v>0</v>
      </c>
      <c r="AX73" s="1086">
        <f>$AY$6/$BI$6</f>
        <v>0</v>
      </c>
      <c r="AY73" s="1087"/>
      <c r="AZ73" s="1088"/>
      <c r="BA73" s="989">
        <f>BJ73*BB73</f>
        <v>2397.077401313622</v>
      </c>
      <c r="BB73" s="990">
        <f>$BC$6/($BI$6+$V$6)</f>
        <v>9.4509469908278562E-2</v>
      </c>
      <c r="BC73" s="1089"/>
      <c r="BD73" s="992">
        <f>BJ73*BE73</f>
        <v>0</v>
      </c>
      <c r="BE73" s="1090">
        <f>$BF$6/($BI$6+$V$6)</f>
        <v>0</v>
      </c>
      <c r="BF73" s="1091"/>
      <c r="BG73" s="995">
        <f>AU73+BA73+BD73</f>
        <v>2736.2208484607436</v>
      </c>
      <c r="BH73" s="996" t="e">
        <f>#REF!+BB73+BE73</f>
        <v>#REF!</v>
      </c>
      <c r="BI73" s="1125"/>
      <c r="BJ73" s="997">
        <f>(25234.68*108.41)/107.86</f>
        <v>25363.356747635822</v>
      </c>
      <c r="BK73" s="1748"/>
      <c r="BL73" s="1681" t="e">
        <f>BH73+#REF!+U73</f>
        <v>#REF!</v>
      </c>
      <c r="BM73" s="879" t="s">
        <v>57</v>
      </c>
      <c r="BN73" s="1173">
        <f t="shared" si="46"/>
        <v>24329.357393424594</v>
      </c>
      <c r="BO73" s="1592"/>
      <c r="BP73" s="1670">
        <f t="shared" si="53"/>
        <v>1033.9993542112279</v>
      </c>
      <c r="BQ73" s="24">
        <f t="shared" si="49"/>
        <v>24329.357393424594</v>
      </c>
      <c r="BR73" s="702">
        <f t="shared" si="50"/>
        <v>1033.9993542112279</v>
      </c>
      <c r="BS73" s="1169"/>
      <c r="BT73" s="1169"/>
      <c r="BU73" s="1169"/>
      <c r="BV73" s="1174" t="s">
        <v>58</v>
      </c>
      <c r="BX73" s="24">
        <f t="shared" si="51"/>
        <v>24329.357393424594</v>
      </c>
      <c r="BY73" s="24">
        <f t="shared" si="38"/>
        <v>1033.9993542112279</v>
      </c>
      <c r="BZ73" s="15">
        <f t="shared" si="42"/>
        <v>0</v>
      </c>
    </row>
    <row r="74" spans="1:79">
      <c r="A74" s="1071" t="str">
        <f t="shared" si="52"/>
        <v>Location Logiciel Bull - Parcours 3</v>
      </c>
      <c r="B74" s="1101"/>
      <c r="C74" s="1102"/>
      <c r="D74" s="1103"/>
      <c r="E74" s="1101"/>
      <c r="F74" s="1103"/>
      <c r="G74" s="1101"/>
      <c r="H74" s="1108"/>
      <c r="I74" s="1109"/>
      <c r="J74" s="1713"/>
      <c r="K74" s="1101"/>
      <c r="L74" s="1108"/>
      <c r="M74" s="1637"/>
      <c r="N74" s="1101"/>
      <c r="O74" s="1110"/>
      <c r="P74" s="1637"/>
      <c r="Q74" s="1101"/>
      <c r="R74" s="1108"/>
      <c r="S74" s="1111"/>
      <c r="T74" s="1101"/>
      <c r="U74" s="1108"/>
      <c r="V74" s="1112"/>
      <c r="W74" s="1879"/>
      <c r="X74" s="923" t="str">
        <f t="shared" si="36"/>
        <v>Location Logiciel i-milo</v>
      </c>
      <c r="Y74" s="1093">
        <f>BJ74*Z74</f>
        <v>2867.7601029202892</v>
      </c>
      <c r="Z74" s="1094">
        <f>$AA$6/($AR$6)</f>
        <v>0.71729867506760614</v>
      </c>
      <c r="AA74" s="1612"/>
      <c r="AB74" s="970">
        <f>BJ74*AC74</f>
        <v>1055.3644638393487</v>
      </c>
      <c r="AC74" s="971">
        <f>$AD$6/($AR$6)</f>
        <v>0.26397310251109274</v>
      </c>
      <c r="AD74" s="972"/>
      <c r="AE74" s="973">
        <f>BJ74*AF74</f>
        <v>74.875433240361687</v>
      </c>
      <c r="AF74" s="1095">
        <f>$AG$6/($AR$6)</f>
        <v>1.8728222421301073E-2</v>
      </c>
      <c r="AG74" s="1096"/>
      <c r="AH74" s="976">
        <f>BJ74*AI74</f>
        <v>0</v>
      </c>
      <c r="AI74" s="1097">
        <f>$AJ$6/$AR$6</f>
        <v>0</v>
      </c>
      <c r="AJ74" s="1098"/>
      <c r="AK74" s="979">
        <f>BJ74*AL74</f>
        <v>0</v>
      </c>
      <c r="AL74" s="1099">
        <f>$AM$6/$AR$6</f>
        <v>0</v>
      </c>
      <c r="AM74" s="981"/>
      <c r="AN74" s="982">
        <f>BJ74*AO74</f>
        <v>24.878020383726472</v>
      </c>
      <c r="AO74" s="1100">
        <f>$AP$6/$AR$6</f>
        <v>6.2226164041336851E-3</v>
      </c>
      <c r="AP74" s="984"/>
      <c r="AQ74" s="985">
        <f>Y74+AB74+AE74+AH74+AK74</f>
        <v>3997.9999999999995</v>
      </c>
      <c r="AR74" s="736"/>
      <c r="AS74" s="1914"/>
      <c r="AT74" s="801" t="str">
        <f t="shared" si="48"/>
        <v>Location Logiciel i-milo</v>
      </c>
      <c r="AU74" s="1118"/>
      <c r="AV74" s="1119"/>
      <c r="AW74" s="1120"/>
      <c r="AX74" s="1000"/>
      <c r="AY74" s="1121"/>
      <c r="AZ74" s="1122"/>
      <c r="BA74" s="999"/>
      <c r="BB74" s="1123"/>
      <c r="BC74" s="1119"/>
      <c r="BD74" s="999"/>
      <c r="BE74" s="1000"/>
      <c r="BF74" s="1119"/>
      <c r="BG74" s="999"/>
      <c r="BH74" s="1000"/>
      <c r="BI74" s="1124"/>
      <c r="BJ74" s="997">
        <v>3998</v>
      </c>
      <c r="BK74" s="1748"/>
      <c r="BL74" s="1681" t="e">
        <f>BH74+#REF!+U74</f>
        <v>#REF!</v>
      </c>
      <c r="BM74" s="879" t="s">
        <v>59</v>
      </c>
      <c r="BN74" s="1173">
        <f t="shared" si="46"/>
        <v>3997.9999999999995</v>
      </c>
      <c r="BO74" s="1591"/>
      <c r="BP74" s="1670">
        <f t="shared" si="53"/>
        <v>0</v>
      </c>
      <c r="BQ74" s="24">
        <f t="shared" si="49"/>
        <v>4022.8780203837259</v>
      </c>
      <c r="BR74" s="702">
        <f t="shared" si="50"/>
        <v>-24.878020383725925</v>
      </c>
      <c r="BV74" s="1071" t="s">
        <v>60</v>
      </c>
      <c r="BX74" s="24">
        <f t="shared" si="51"/>
        <v>3997.9999999999995</v>
      </c>
      <c r="BY74" s="24">
        <f t="shared" si="38"/>
        <v>0</v>
      </c>
      <c r="BZ74" s="15">
        <f t="shared" si="42"/>
        <v>0</v>
      </c>
    </row>
    <row r="75" spans="1:79">
      <c r="A75" s="1071" t="str">
        <f t="shared" si="52"/>
        <v>Location Log "Clauses sociales"</v>
      </c>
      <c r="B75" s="1101"/>
      <c r="C75" s="1102"/>
      <c r="D75" s="1103"/>
      <c r="E75" s="1101"/>
      <c r="F75" s="1103"/>
      <c r="G75" s="1101"/>
      <c r="H75" s="1108"/>
      <c r="I75" s="1109"/>
      <c r="J75" s="1713"/>
      <c r="K75" s="1101"/>
      <c r="L75" s="1108"/>
      <c r="M75" s="1637"/>
      <c r="N75" s="713">
        <f t="shared" ref="N75:N81" si="55">BJ75*O75</f>
        <v>0</v>
      </c>
      <c r="O75" s="965">
        <f>(P19)/($P$19+$S$19)</f>
        <v>0</v>
      </c>
      <c r="P75" s="1650"/>
      <c r="Q75" s="1523">
        <f t="shared" ref="Q75:Q81" si="56">BJ75*R75</f>
        <v>424</v>
      </c>
      <c r="R75" s="1524">
        <f>(S19)/($P$19+$S$19)</f>
        <v>1</v>
      </c>
      <c r="S75" s="1529"/>
      <c r="T75" s="715">
        <f t="shared" ref="T75:T91" si="57">B75+K75+N75+Q75</f>
        <v>424</v>
      </c>
      <c r="U75" s="1176">
        <f t="shared" ref="U75:U91" si="58">C75+L75+O75+R75</f>
        <v>1</v>
      </c>
      <c r="V75" s="1076"/>
      <c r="W75" s="1879"/>
      <c r="X75" s="923" t="str">
        <f t="shared" si="36"/>
        <v>Location Log "Clauses sociales"</v>
      </c>
      <c r="Y75" s="1101"/>
      <c r="Z75" s="1108"/>
      <c r="AA75" s="1617"/>
      <c r="AB75" s="1177"/>
      <c r="AC75" s="1178"/>
      <c r="AD75" s="1109"/>
      <c r="AE75" s="1101"/>
      <c r="AF75" s="1108"/>
      <c r="AG75" s="1109"/>
      <c r="AH75" s="1101"/>
      <c r="AI75" s="1108"/>
      <c r="AJ75" s="1109"/>
      <c r="AK75" s="999"/>
      <c r="AL75" s="1000"/>
      <c r="AM75" s="1001"/>
      <c r="AN75" s="999"/>
      <c r="AO75" s="1000"/>
      <c r="AP75" s="1001"/>
      <c r="AQ75" s="1101"/>
      <c r="AR75" s="1179"/>
      <c r="AS75" s="1914"/>
      <c r="AT75" s="801" t="str">
        <f t="shared" si="48"/>
        <v>Location Log "Clauses sociales"</v>
      </c>
      <c r="AU75" s="1118"/>
      <c r="AV75" s="1119"/>
      <c r="AW75" s="1120"/>
      <c r="AX75" s="1000"/>
      <c r="AY75" s="1121"/>
      <c r="AZ75" s="1122"/>
      <c r="BA75" s="999"/>
      <c r="BB75" s="1123"/>
      <c r="BC75" s="1119"/>
      <c r="BD75" s="999"/>
      <c r="BE75" s="1000"/>
      <c r="BF75" s="1119"/>
      <c r="BG75" s="999"/>
      <c r="BH75" s="1000"/>
      <c r="BI75" s="1124"/>
      <c r="BJ75" s="997">
        <v>424</v>
      </c>
      <c r="BK75" s="1748"/>
      <c r="BL75" s="1681" t="e">
        <f>BH75+#REF!+U75</f>
        <v>#REF!</v>
      </c>
      <c r="BM75" s="879" t="s">
        <v>61</v>
      </c>
      <c r="BN75" s="1173">
        <f t="shared" si="46"/>
        <v>424</v>
      </c>
      <c r="BO75" s="1591"/>
      <c r="BP75" s="1670">
        <f t="shared" si="53"/>
        <v>0</v>
      </c>
      <c r="BQ75" s="24">
        <f t="shared" si="49"/>
        <v>424</v>
      </c>
      <c r="BR75" s="702">
        <f t="shared" si="50"/>
        <v>0</v>
      </c>
      <c r="BV75" s="1071" t="s">
        <v>61</v>
      </c>
      <c r="BX75" s="24">
        <f t="shared" si="51"/>
        <v>424</v>
      </c>
      <c r="BY75" s="24">
        <f t="shared" si="38"/>
        <v>0</v>
      </c>
      <c r="BZ75" s="15">
        <f t="shared" si="42"/>
        <v>0</v>
      </c>
    </row>
    <row r="76" spans="1:79">
      <c r="A76" s="1071" t="str">
        <f t="shared" si="52"/>
        <v>Location Log MIAM</v>
      </c>
      <c r="B76" s="705">
        <f t="shared" ref="B76:B81" si="59">BJ76*C76</f>
        <v>32.146619077811337</v>
      </c>
      <c r="C76" s="1072">
        <f t="shared" ref="C76:C81" si="60">($D$6/$BL$6)</f>
        <v>1.6073309538905668E-2</v>
      </c>
      <c r="D76" s="1073"/>
      <c r="E76" s="705">
        <f t="shared" ref="E76:E81" si="61">BJ76*F76</f>
        <v>0</v>
      </c>
      <c r="F76" s="1073">
        <f t="shared" ref="F76:F81" si="62">$F$6/$BL$6</f>
        <v>0</v>
      </c>
      <c r="G76" s="705">
        <f t="shared" ref="G76:H81" si="63">E76+B76</f>
        <v>32.146619077811337</v>
      </c>
      <c r="H76" s="1074">
        <f t="shared" si="63"/>
        <v>1.6073309538905668E-2</v>
      </c>
      <c r="I76" s="1075"/>
      <c r="J76" s="1711"/>
      <c r="K76" s="711">
        <f t="shared" ref="K76:K81" si="64">BJ76*L76</f>
        <v>80.351304072067123</v>
      </c>
      <c r="L76" s="964">
        <f t="shared" ref="L76:L81" si="65">$M$6/$BL$6</f>
        <v>4.0175652036033564E-2</v>
      </c>
      <c r="M76" s="1633"/>
      <c r="N76" s="713">
        <f t="shared" si="55"/>
        <v>224.96862076539566</v>
      </c>
      <c r="O76" s="965">
        <f t="shared" ref="O76:O81" si="66">$P$6/$BL$6</f>
        <v>0.11248431038269782</v>
      </c>
      <c r="P76" s="1650"/>
      <c r="Q76" s="1523">
        <f t="shared" si="56"/>
        <v>83.072886423326509</v>
      </c>
      <c r="R76" s="1524">
        <f t="shared" ref="R76:R81" si="67">($S$6/$BL$6)</f>
        <v>4.1536443211663256E-2</v>
      </c>
      <c r="S76" s="1529"/>
      <c r="T76" s="715">
        <f t="shared" si="57"/>
        <v>420.5394303386006</v>
      </c>
      <c r="U76" s="966">
        <f t="shared" si="58"/>
        <v>0.21026971516930029</v>
      </c>
      <c r="V76" s="1076"/>
      <c r="W76" s="1879"/>
      <c r="X76" s="923" t="str">
        <f t="shared" si="36"/>
        <v>Location Log MIAM</v>
      </c>
      <c r="Y76" s="1093">
        <f t="shared" ref="Y76:Y82" si="68">BJ76*Z76</f>
        <v>1080.3667944174013</v>
      </c>
      <c r="Z76" s="1094">
        <f t="shared" ref="Z76:Z81" si="69">$AA$6/($BL$6)</f>
        <v>0.54018339720870068</v>
      </c>
      <c r="AA76" s="1612"/>
      <c r="AB76" s="970">
        <f t="shared" ref="AB76:AB82" si="70">BJ76*AC76</f>
        <v>397.58580976808031</v>
      </c>
      <c r="AC76" s="971">
        <f t="shared" ref="AC76:AC81" si="71">$AD$6/($BL$6)</f>
        <v>0.19879290488404017</v>
      </c>
      <c r="AD76" s="972"/>
      <c r="AE76" s="973">
        <f t="shared" ref="AE76:AE82" si="72">BJ76*AF76</f>
        <v>28.20770527776331</v>
      </c>
      <c r="AF76" s="1095">
        <f t="shared" ref="AF76:AF81" si="73">$AG$6/($BL$6)</f>
        <v>1.4103852638881654E-2</v>
      </c>
      <c r="AG76" s="1096"/>
      <c r="AH76" s="976">
        <f t="shared" ref="AH76:AH82" si="74">BJ76*AI76</f>
        <v>0</v>
      </c>
      <c r="AI76" s="1097">
        <f t="shared" ref="AI76:AI81" si="75">$AJ$6/($BL$6)</f>
        <v>0</v>
      </c>
      <c r="AJ76" s="1098"/>
      <c r="AK76" s="979">
        <f t="shared" ref="AK76:AK82" si="76">BJ76*AL76</f>
        <v>0</v>
      </c>
      <c r="AL76" s="1099">
        <f t="shared" ref="AL76:AL81" si="77">$AM$6/($BL$6)</f>
        <v>0</v>
      </c>
      <c r="AM76" s="981"/>
      <c r="AN76" s="982">
        <f>BJ76*AO76</f>
        <v>12.44523280826737</v>
      </c>
      <c r="AO76" s="1100">
        <f>$AP$6/$AR$6</f>
        <v>6.2226164041336851E-3</v>
      </c>
      <c r="AP76" s="984"/>
      <c r="AQ76" s="985">
        <f>Y76+AB76+AE76+AH76+AK76</f>
        <v>1506.1603094632449</v>
      </c>
      <c r="AR76" s="736"/>
      <c r="AS76" s="1914"/>
      <c r="AT76" s="801" t="str">
        <f t="shared" si="48"/>
        <v>Location Log MIAM</v>
      </c>
      <c r="AU76" s="737">
        <f t="shared" ref="AU76:AU81" si="78">BJ76*AV76</f>
        <v>26.74278886044798</v>
      </c>
      <c r="AV76" s="1085">
        <f t="shared" ref="AV76:AV81" si="79">$AV$6/$BL$6</f>
        <v>1.337139443022399E-2</v>
      </c>
      <c r="AW76" s="986">
        <f t="shared" ref="AW76:AW81" si="80">BJ76*AX76</f>
        <v>0</v>
      </c>
      <c r="AX76" s="1086">
        <f t="shared" ref="AX76:AX81" si="81">$AY$6/($BL$6)</f>
        <v>0</v>
      </c>
      <c r="AY76" s="1087"/>
      <c r="AZ76" s="1088"/>
      <c r="BA76" s="989">
        <f t="shared" ref="BA76:BA81" si="82">BJ76*BB76</f>
        <v>46.684536205606229</v>
      </c>
      <c r="BB76" s="990">
        <f t="shared" ref="BB76:BB81" si="83">$BC$6/($BL$6)</f>
        <v>2.3342268102803113E-2</v>
      </c>
      <c r="BC76" s="1089"/>
      <c r="BD76" s="992">
        <f t="shared" ref="BD76:BD81" si="84">BJ76*BE76</f>
        <v>0</v>
      </c>
      <c r="BE76" s="1090">
        <f t="shared" ref="BE76:BE81" si="85">$BF$6/($BL$6)</f>
        <v>0</v>
      </c>
      <c r="BF76" s="1091"/>
      <c r="BG76" s="995">
        <f t="shared" ref="BG76:BG81" si="86">AU76+BA76+BD76</f>
        <v>73.427325066054209</v>
      </c>
      <c r="BH76" s="996" t="e">
        <f>#REF!+BB76+BE76</f>
        <v>#REF!</v>
      </c>
      <c r="BI76" s="1125"/>
      <c r="BJ76" s="997">
        <v>2000</v>
      </c>
      <c r="BK76" s="1748"/>
      <c r="BL76" s="1681" t="e">
        <f>BH76+#REF!+U76</f>
        <v>#REF!</v>
      </c>
      <c r="BM76" s="879" t="s">
        <v>62</v>
      </c>
      <c r="BN76" s="1173">
        <f t="shared" si="46"/>
        <v>2000.1270648678997</v>
      </c>
      <c r="BO76" s="1591"/>
      <c r="BP76" s="1670">
        <f t="shared" si="53"/>
        <v>-0.1270648678996622</v>
      </c>
      <c r="BQ76" s="24">
        <f t="shared" si="49"/>
        <v>2012.572297676167</v>
      </c>
      <c r="BR76" s="702">
        <f t="shared" si="50"/>
        <v>-12.572297676166954</v>
      </c>
      <c r="BV76" s="1071" t="s">
        <v>62</v>
      </c>
      <c r="BX76" s="24">
        <f t="shared" si="51"/>
        <v>2000.1270648678997</v>
      </c>
      <c r="BY76" s="24">
        <f t="shared" si="38"/>
        <v>-0.1270648678996622</v>
      </c>
      <c r="BZ76" s="15">
        <f t="shared" si="42"/>
        <v>0</v>
      </c>
    </row>
    <row r="77" spans="1:79">
      <c r="A77" s="1071" t="str">
        <f t="shared" si="52"/>
        <v xml:space="preserve">Location Hébergement OVH </v>
      </c>
      <c r="B77" s="705">
        <f t="shared" si="59"/>
        <v>0</v>
      </c>
      <c r="C77" s="1072">
        <f t="shared" si="60"/>
        <v>1.6073309538905668E-2</v>
      </c>
      <c r="D77" s="1073"/>
      <c r="E77" s="705">
        <f t="shared" si="61"/>
        <v>0</v>
      </c>
      <c r="F77" s="1073">
        <f t="shared" si="62"/>
        <v>0</v>
      </c>
      <c r="G77" s="705">
        <f t="shared" si="63"/>
        <v>0</v>
      </c>
      <c r="H77" s="1074">
        <f t="shared" si="63"/>
        <v>1.6073309538905668E-2</v>
      </c>
      <c r="I77" s="1075"/>
      <c r="J77" s="1711"/>
      <c r="K77" s="711">
        <f t="shared" si="64"/>
        <v>0</v>
      </c>
      <c r="L77" s="964">
        <f t="shared" si="65"/>
        <v>4.0175652036033564E-2</v>
      </c>
      <c r="M77" s="1633"/>
      <c r="N77" s="713">
        <f t="shared" si="55"/>
        <v>0</v>
      </c>
      <c r="O77" s="965">
        <f t="shared" si="66"/>
        <v>0.11248431038269782</v>
      </c>
      <c r="P77" s="1650"/>
      <c r="Q77" s="1523">
        <f t="shared" si="56"/>
        <v>0</v>
      </c>
      <c r="R77" s="1524">
        <f t="shared" si="67"/>
        <v>4.1536443211663256E-2</v>
      </c>
      <c r="S77" s="1529"/>
      <c r="T77" s="715">
        <f t="shared" si="57"/>
        <v>0</v>
      </c>
      <c r="U77" s="966">
        <f t="shared" si="58"/>
        <v>0.21026971516930029</v>
      </c>
      <c r="V77" s="1076"/>
      <c r="W77" s="1879"/>
      <c r="X77" s="923" t="str">
        <f t="shared" si="36"/>
        <v xml:space="preserve">Location Hébergement OVH </v>
      </c>
      <c r="Y77" s="1093">
        <f t="shared" si="68"/>
        <v>0</v>
      </c>
      <c r="Z77" s="1094">
        <f t="shared" si="69"/>
        <v>0.54018339720870068</v>
      </c>
      <c r="AA77" s="1612"/>
      <c r="AB77" s="970">
        <f t="shared" si="70"/>
        <v>0</v>
      </c>
      <c r="AC77" s="971">
        <f t="shared" si="71"/>
        <v>0.19879290488404017</v>
      </c>
      <c r="AD77" s="972"/>
      <c r="AE77" s="973">
        <f t="shared" si="72"/>
        <v>0</v>
      </c>
      <c r="AF77" s="1095">
        <f t="shared" si="73"/>
        <v>1.4103852638881654E-2</v>
      </c>
      <c r="AG77" s="1096"/>
      <c r="AH77" s="976">
        <f t="shared" si="74"/>
        <v>0</v>
      </c>
      <c r="AI77" s="1097">
        <f t="shared" si="75"/>
        <v>0</v>
      </c>
      <c r="AJ77" s="1098"/>
      <c r="AK77" s="979">
        <f t="shared" si="76"/>
        <v>0</v>
      </c>
      <c r="AL77" s="1099">
        <f t="shared" si="77"/>
        <v>0</v>
      </c>
      <c r="AM77" s="981"/>
      <c r="AN77" s="982">
        <f>BJ77*AO77</f>
        <v>0</v>
      </c>
      <c r="AO77" s="1100">
        <f>$AP$6/$AR$6</f>
        <v>6.2226164041336851E-3</v>
      </c>
      <c r="AP77" s="984"/>
      <c r="AQ77" s="985">
        <f>Y77+AB77+AE77+AH77+AK77</f>
        <v>0</v>
      </c>
      <c r="AR77" s="736"/>
      <c r="AS77" s="1914"/>
      <c r="AT77" s="801" t="str">
        <f t="shared" si="48"/>
        <v xml:space="preserve">Location Hébergement OVH </v>
      </c>
      <c r="AU77" s="737">
        <f t="shared" si="78"/>
        <v>0</v>
      </c>
      <c r="AV77" s="1085">
        <f t="shared" si="79"/>
        <v>1.337139443022399E-2</v>
      </c>
      <c r="AW77" s="986">
        <f t="shared" si="80"/>
        <v>0</v>
      </c>
      <c r="AX77" s="1086">
        <f t="shared" si="81"/>
        <v>0</v>
      </c>
      <c r="AY77" s="1087"/>
      <c r="AZ77" s="1088"/>
      <c r="BA77" s="989">
        <f t="shared" si="82"/>
        <v>0</v>
      </c>
      <c r="BB77" s="990">
        <f t="shared" si="83"/>
        <v>2.3342268102803113E-2</v>
      </c>
      <c r="BC77" s="1089"/>
      <c r="BD77" s="992">
        <f t="shared" si="84"/>
        <v>0</v>
      </c>
      <c r="BE77" s="1090">
        <f t="shared" si="85"/>
        <v>0</v>
      </c>
      <c r="BF77" s="1091"/>
      <c r="BG77" s="995">
        <f t="shared" si="86"/>
        <v>0</v>
      </c>
      <c r="BH77" s="996" t="e">
        <f>#REF!+BB77+BE77</f>
        <v>#REF!</v>
      </c>
      <c r="BI77" s="1125"/>
      <c r="BJ77" s="997">
        <v>0</v>
      </c>
      <c r="BK77" s="1748"/>
      <c r="BL77" s="1681" t="e">
        <f>BH77+#REF!+U77</f>
        <v>#REF!</v>
      </c>
      <c r="BM77" s="879" t="s">
        <v>63</v>
      </c>
      <c r="BN77" s="1173">
        <f t="shared" si="46"/>
        <v>0</v>
      </c>
      <c r="BO77" s="1591"/>
      <c r="BP77" s="1670">
        <f t="shared" si="53"/>
        <v>0</v>
      </c>
      <c r="BQ77" s="24">
        <f t="shared" si="49"/>
        <v>0</v>
      </c>
      <c r="BR77" s="702">
        <f t="shared" si="50"/>
        <v>0</v>
      </c>
      <c r="BV77" s="1071" t="s">
        <v>63</v>
      </c>
      <c r="BX77" s="24">
        <f t="shared" si="51"/>
        <v>0</v>
      </c>
      <c r="BY77" s="24">
        <f t="shared" si="38"/>
        <v>0</v>
      </c>
      <c r="BZ77" s="15">
        <f t="shared" si="42"/>
        <v>0</v>
      </c>
    </row>
    <row r="78" spans="1:79">
      <c r="A78" s="1071" t="str">
        <f t="shared" si="52"/>
        <v>Location mobilière</v>
      </c>
      <c r="B78" s="705">
        <f t="shared" si="59"/>
        <v>0</v>
      </c>
      <c r="C78" s="1072">
        <f t="shared" si="60"/>
        <v>1.6073309538905668E-2</v>
      </c>
      <c r="D78" s="1073"/>
      <c r="E78" s="705">
        <f t="shared" si="61"/>
        <v>0</v>
      </c>
      <c r="F78" s="1073">
        <f t="shared" si="62"/>
        <v>0</v>
      </c>
      <c r="G78" s="705">
        <f t="shared" si="63"/>
        <v>0</v>
      </c>
      <c r="H78" s="1074">
        <f t="shared" si="63"/>
        <v>1.6073309538905668E-2</v>
      </c>
      <c r="I78" s="1075"/>
      <c r="J78" s="1711"/>
      <c r="K78" s="711">
        <f t="shared" si="64"/>
        <v>0</v>
      </c>
      <c r="L78" s="964">
        <f t="shared" si="65"/>
        <v>4.0175652036033564E-2</v>
      </c>
      <c r="M78" s="1633"/>
      <c r="N78" s="713">
        <f t="shared" si="55"/>
        <v>0</v>
      </c>
      <c r="O78" s="965">
        <f t="shared" si="66"/>
        <v>0.11248431038269782</v>
      </c>
      <c r="P78" s="1650"/>
      <c r="Q78" s="1523">
        <f t="shared" si="56"/>
        <v>0</v>
      </c>
      <c r="R78" s="1524">
        <f t="shared" si="67"/>
        <v>4.1536443211663256E-2</v>
      </c>
      <c r="S78" s="1529"/>
      <c r="T78" s="715">
        <f t="shared" si="57"/>
        <v>0</v>
      </c>
      <c r="U78" s="966">
        <f t="shared" si="58"/>
        <v>0.21026971516930029</v>
      </c>
      <c r="V78" s="1076"/>
      <c r="W78" s="1879"/>
      <c r="X78" s="923" t="str">
        <f t="shared" si="36"/>
        <v>Location mobilière</v>
      </c>
      <c r="Y78" s="1093">
        <f t="shared" si="68"/>
        <v>0</v>
      </c>
      <c r="Z78" s="1094">
        <f t="shared" si="69"/>
        <v>0.54018339720870068</v>
      </c>
      <c r="AA78" s="1612"/>
      <c r="AB78" s="970">
        <f t="shared" si="70"/>
        <v>0</v>
      </c>
      <c r="AC78" s="971">
        <f t="shared" si="71"/>
        <v>0.19879290488404017</v>
      </c>
      <c r="AD78" s="972"/>
      <c r="AE78" s="973">
        <f t="shared" si="72"/>
        <v>0</v>
      </c>
      <c r="AF78" s="1095">
        <f t="shared" si="73"/>
        <v>1.4103852638881654E-2</v>
      </c>
      <c r="AG78" s="1096"/>
      <c r="AH78" s="976">
        <f t="shared" si="74"/>
        <v>0</v>
      </c>
      <c r="AI78" s="1097">
        <f t="shared" si="75"/>
        <v>0</v>
      </c>
      <c r="AJ78" s="1098"/>
      <c r="AK78" s="979">
        <f t="shared" si="76"/>
        <v>0</v>
      </c>
      <c r="AL78" s="1099">
        <f t="shared" si="77"/>
        <v>0</v>
      </c>
      <c r="AM78" s="981"/>
      <c r="AN78" s="982">
        <f>BJ78*AO78</f>
        <v>0</v>
      </c>
      <c r="AO78" s="1100">
        <f>$AP$6/$AA$6</f>
        <v>8.6750702607211651E-3</v>
      </c>
      <c r="AP78" s="984"/>
      <c r="AQ78" s="985">
        <f>Y78+AB78+AE78+AH78+AK78</f>
        <v>0</v>
      </c>
      <c r="AR78" s="736"/>
      <c r="AS78" s="1914"/>
      <c r="AT78" s="801" t="str">
        <f t="shared" si="48"/>
        <v>Location mobilière</v>
      </c>
      <c r="AU78" s="737">
        <f t="shared" si="78"/>
        <v>0</v>
      </c>
      <c r="AV78" s="1085">
        <f t="shared" si="79"/>
        <v>1.337139443022399E-2</v>
      </c>
      <c r="AW78" s="986">
        <f t="shared" si="80"/>
        <v>0</v>
      </c>
      <c r="AX78" s="1086">
        <f t="shared" si="81"/>
        <v>0</v>
      </c>
      <c r="AY78" s="1087"/>
      <c r="AZ78" s="1088"/>
      <c r="BA78" s="989">
        <f t="shared" si="82"/>
        <v>0</v>
      </c>
      <c r="BB78" s="990">
        <f t="shared" si="83"/>
        <v>2.3342268102803113E-2</v>
      </c>
      <c r="BC78" s="1089"/>
      <c r="BD78" s="992">
        <f t="shared" si="84"/>
        <v>0</v>
      </c>
      <c r="BE78" s="1090">
        <f t="shared" si="85"/>
        <v>0</v>
      </c>
      <c r="BF78" s="1091"/>
      <c r="BG78" s="995">
        <f t="shared" si="86"/>
        <v>0</v>
      </c>
      <c r="BH78" s="996" t="e">
        <f>#REF!+BB78+BE78</f>
        <v>#REF!</v>
      </c>
      <c r="BI78" s="1125"/>
      <c r="BJ78" s="997">
        <v>0</v>
      </c>
      <c r="BK78" s="1748"/>
      <c r="BL78" s="1681" t="e">
        <f>BH78+#REF!+U78</f>
        <v>#REF!</v>
      </c>
      <c r="BM78" s="1043" t="s">
        <v>64</v>
      </c>
      <c r="BN78" s="1173">
        <f t="shared" si="46"/>
        <v>0</v>
      </c>
      <c r="BO78" s="1591"/>
      <c r="BP78" s="1670">
        <f t="shared" si="53"/>
        <v>0</v>
      </c>
      <c r="BQ78" s="24">
        <f t="shared" si="49"/>
        <v>0</v>
      </c>
      <c r="BR78" s="702">
        <f t="shared" si="50"/>
        <v>0</v>
      </c>
      <c r="BV78" s="1071" t="s">
        <v>64</v>
      </c>
      <c r="BX78" s="24">
        <f t="shared" si="51"/>
        <v>0</v>
      </c>
      <c r="BY78" s="24">
        <f t="shared" si="38"/>
        <v>0</v>
      </c>
      <c r="BZ78" s="15">
        <f t="shared" si="42"/>
        <v>0</v>
      </c>
    </row>
    <row r="79" spans="1:79" ht="27" customHeight="1">
      <c r="A79" s="1071" t="str">
        <f t="shared" si="52"/>
        <v>Location mobilière (photocopieur)</v>
      </c>
      <c r="B79" s="705">
        <f t="shared" si="59"/>
        <v>44.973120089858057</v>
      </c>
      <c r="C79" s="1072">
        <f t="shared" si="60"/>
        <v>1.6073309538905668E-2</v>
      </c>
      <c r="D79" s="1073"/>
      <c r="E79" s="705">
        <f t="shared" si="61"/>
        <v>0</v>
      </c>
      <c r="F79" s="1073">
        <f t="shared" si="62"/>
        <v>0</v>
      </c>
      <c r="G79" s="705">
        <f t="shared" si="63"/>
        <v>44.973120089858057</v>
      </c>
      <c r="H79" s="1074">
        <f t="shared" si="63"/>
        <v>1.6073309538905668E-2</v>
      </c>
      <c r="I79" s="1075"/>
      <c r="J79" s="1711"/>
      <c r="K79" s="711">
        <f t="shared" si="64"/>
        <v>112.41147439682192</v>
      </c>
      <c r="L79" s="964">
        <f t="shared" si="65"/>
        <v>4.0175652036033564E-2</v>
      </c>
      <c r="M79" s="1633"/>
      <c r="N79" s="713">
        <f t="shared" si="55"/>
        <v>314.73110045078852</v>
      </c>
      <c r="O79" s="965">
        <f t="shared" si="66"/>
        <v>0.11248431038269782</v>
      </c>
      <c r="P79" s="1650"/>
      <c r="Q79" s="1523">
        <f t="shared" si="56"/>
        <v>116.21896810623379</v>
      </c>
      <c r="R79" s="1524">
        <f t="shared" si="67"/>
        <v>4.1536443211663256E-2</v>
      </c>
      <c r="S79" s="1529"/>
      <c r="T79" s="715">
        <f t="shared" si="57"/>
        <v>588.33466304370234</v>
      </c>
      <c r="U79" s="966">
        <f t="shared" si="58"/>
        <v>0.21026971516930029</v>
      </c>
      <c r="V79" s="1076"/>
      <c r="W79" s="1879"/>
      <c r="X79" s="923" t="str">
        <f t="shared" si="36"/>
        <v>Location mobilière (photocopieur)</v>
      </c>
      <c r="Y79" s="1093">
        <f t="shared" si="68"/>
        <v>1511.4331453899445</v>
      </c>
      <c r="Z79" s="1094">
        <f t="shared" si="69"/>
        <v>0.54018339720870068</v>
      </c>
      <c r="AA79" s="1612"/>
      <c r="AB79" s="970">
        <f t="shared" si="70"/>
        <v>556.22254786554436</v>
      </c>
      <c r="AC79" s="971">
        <f t="shared" si="71"/>
        <v>0.19879290488404017</v>
      </c>
      <c r="AD79" s="972"/>
      <c r="AE79" s="973">
        <f t="shared" si="72"/>
        <v>39.462579683590867</v>
      </c>
      <c r="AF79" s="1095">
        <f t="shared" si="73"/>
        <v>1.4103852638881654E-2</v>
      </c>
      <c r="AG79" s="1096"/>
      <c r="AH79" s="976">
        <f t="shared" si="74"/>
        <v>0</v>
      </c>
      <c r="AI79" s="1097">
        <f t="shared" si="75"/>
        <v>0</v>
      </c>
      <c r="AJ79" s="1098"/>
      <c r="AK79" s="979">
        <f t="shared" si="76"/>
        <v>0</v>
      </c>
      <c r="AL79" s="1099">
        <f t="shared" si="77"/>
        <v>0</v>
      </c>
      <c r="AM79" s="981"/>
      <c r="AN79" s="982">
        <f>BJ79*AO79</f>
        <v>24.272846589497821</v>
      </c>
      <c r="AO79" s="1100">
        <f>$AP$6/$AA$6</f>
        <v>8.6750702607211651E-3</v>
      </c>
      <c r="AP79" s="984"/>
      <c r="AQ79" s="985">
        <f t="shared" ref="AQ79:AQ89" si="87">Y79+AB79+AE79+AH79+AK79</f>
        <v>2107.1182729390794</v>
      </c>
      <c r="AR79" s="736"/>
      <c r="AS79" s="1914"/>
      <c r="AT79" s="801" t="str">
        <f t="shared" si="48"/>
        <v>Location mobilière (photocopieur)</v>
      </c>
      <c r="AU79" s="737">
        <f t="shared" si="78"/>
        <v>37.413161615766725</v>
      </c>
      <c r="AV79" s="1085">
        <f t="shared" si="79"/>
        <v>1.337139443022399E-2</v>
      </c>
      <c r="AW79" s="986">
        <f t="shared" si="80"/>
        <v>0</v>
      </c>
      <c r="AX79" s="1086">
        <f t="shared" si="81"/>
        <v>0</v>
      </c>
      <c r="AY79" s="1087"/>
      <c r="AZ79" s="1088"/>
      <c r="BA79" s="989">
        <f t="shared" si="82"/>
        <v>65.311666151643109</v>
      </c>
      <c r="BB79" s="990">
        <f t="shared" si="83"/>
        <v>2.3342268102803113E-2</v>
      </c>
      <c r="BC79" s="1089"/>
      <c r="BD79" s="992">
        <f t="shared" si="84"/>
        <v>0</v>
      </c>
      <c r="BE79" s="1090">
        <f t="shared" si="85"/>
        <v>0</v>
      </c>
      <c r="BF79" s="1091"/>
      <c r="BG79" s="995">
        <f t="shared" si="86"/>
        <v>102.72482776740983</v>
      </c>
      <c r="BH79" s="996" t="e">
        <f>#REF!+BB79+BE79</f>
        <v>#REF!</v>
      </c>
      <c r="BI79" s="1125"/>
      <c r="BJ79" s="997">
        <v>2798</v>
      </c>
      <c r="BK79" s="1748"/>
      <c r="BL79" s="1681" t="e">
        <f>BH79+#REF!+U79</f>
        <v>#REF!</v>
      </c>
      <c r="BM79" s="879" t="s">
        <v>65</v>
      </c>
      <c r="BN79" s="1173">
        <f t="shared" si="46"/>
        <v>2798.1777637501914</v>
      </c>
      <c r="BO79" s="1591"/>
      <c r="BP79" s="1670">
        <f t="shared" si="53"/>
        <v>-0.17776375019138868</v>
      </c>
      <c r="BQ79" s="24">
        <f t="shared" si="49"/>
        <v>2822.4506103396893</v>
      </c>
      <c r="BR79" s="702">
        <f t="shared" si="50"/>
        <v>-24.45061033968932</v>
      </c>
      <c r="BV79" s="1071" t="s">
        <v>65</v>
      </c>
      <c r="BX79" s="24">
        <f t="shared" si="51"/>
        <v>2798.1777637501918</v>
      </c>
      <c r="BY79" s="24">
        <f t="shared" si="38"/>
        <v>-0.17776375019184343</v>
      </c>
      <c r="BZ79" s="15">
        <f t="shared" si="42"/>
        <v>0</v>
      </c>
    </row>
    <row r="80" spans="1:79">
      <c r="A80" s="1071" t="str">
        <f t="shared" si="52"/>
        <v>Location véhicule (Peugeot 207)</v>
      </c>
      <c r="B80" s="705">
        <f t="shared" si="59"/>
        <v>55.726164171385946</v>
      </c>
      <c r="C80" s="1072">
        <f t="shared" si="60"/>
        <v>1.6073309538905668E-2</v>
      </c>
      <c r="D80" s="1073"/>
      <c r="E80" s="705">
        <f t="shared" si="61"/>
        <v>0</v>
      </c>
      <c r="F80" s="1073">
        <f t="shared" si="62"/>
        <v>0</v>
      </c>
      <c r="G80" s="705">
        <f t="shared" si="63"/>
        <v>55.726164171385946</v>
      </c>
      <c r="H80" s="1074">
        <f t="shared" si="63"/>
        <v>1.6073309538905668E-2</v>
      </c>
      <c r="I80" s="1075"/>
      <c r="J80" s="1711"/>
      <c r="K80" s="711">
        <f t="shared" si="64"/>
        <v>139.28898560892836</v>
      </c>
      <c r="L80" s="964">
        <f t="shared" si="65"/>
        <v>4.0175652036033564E-2</v>
      </c>
      <c r="M80" s="1633"/>
      <c r="N80" s="713">
        <f t="shared" si="55"/>
        <v>389.98310409681335</v>
      </c>
      <c r="O80" s="965">
        <f t="shared" si="66"/>
        <v>0.11248431038269782</v>
      </c>
      <c r="P80" s="1650"/>
      <c r="Q80" s="1523">
        <f t="shared" si="56"/>
        <v>144.00684861483651</v>
      </c>
      <c r="R80" s="1524">
        <f t="shared" si="67"/>
        <v>4.1536443211663256E-2</v>
      </c>
      <c r="S80" s="1529"/>
      <c r="T80" s="715">
        <f t="shared" si="57"/>
        <v>729.00510249196407</v>
      </c>
      <c r="U80" s="966">
        <f t="shared" si="58"/>
        <v>0.21026971516930029</v>
      </c>
      <c r="V80" s="1076"/>
      <c r="W80" s="1879"/>
      <c r="X80" s="923" t="str">
        <f t="shared" si="36"/>
        <v>Location véhicule (Peugeot 208)</v>
      </c>
      <c r="Y80" s="1093">
        <f t="shared" si="68"/>
        <v>1872.8158381225653</v>
      </c>
      <c r="Z80" s="1094">
        <f t="shared" si="69"/>
        <v>0.54018339720870068</v>
      </c>
      <c r="AA80" s="1612"/>
      <c r="AB80" s="970">
        <f t="shared" si="70"/>
        <v>689.21500123296721</v>
      </c>
      <c r="AC80" s="971">
        <f t="shared" si="71"/>
        <v>0.19879290488404017</v>
      </c>
      <c r="AD80" s="972"/>
      <c r="AE80" s="973">
        <f t="shared" si="72"/>
        <v>48.898057099002692</v>
      </c>
      <c r="AF80" s="1095">
        <f t="shared" si="73"/>
        <v>1.4103852638881654E-2</v>
      </c>
      <c r="AG80" s="1096"/>
      <c r="AH80" s="976">
        <f t="shared" si="74"/>
        <v>0</v>
      </c>
      <c r="AI80" s="1097">
        <f t="shared" si="75"/>
        <v>0</v>
      </c>
      <c r="AJ80" s="1098"/>
      <c r="AK80" s="979">
        <f t="shared" si="76"/>
        <v>0</v>
      </c>
      <c r="AL80" s="1099">
        <f t="shared" si="77"/>
        <v>0</v>
      </c>
      <c r="AM80" s="981"/>
      <c r="AN80" s="982">
        <f>BJ80*AO80</f>
        <v>30.076468593920278</v>
      </c>
      <c r="AO80" s="1100">
        <f>$AP$6/$AA$6</f>
        <v>8.6750702607211651E-3</v>
      </c>
      <c r="AP80" s="984"/>
      <c r="AQ80" s="985">
        <f t="shared" si="87"/>
        <v>2610.9288964545349</v>
      </c>
      <c r="AR80" s="736"/>
      <c r="AS80" s="1914"/>
      <c r="AT80" s="801" t="str">
        <f t="shared" si="48"/>
        <v>Location véhicule (Peugeot 208)</v>
      </c>
      <c r="AU80" s="737">
        <f t="shared" si="78"/>
        <v>46.358624489586575</v>
      </c>
      <c r="AV80" s="1085">
        <f t="shared" si="79"/>
        <v>1.337139443022399E-2</v>
      </c>
      <c r="AW80" s="986">
        <f t="shared" si="80"/>
        <v>0</v>
      </c>
      <c r="AX80" s="1086">
        <f t="shared" si="81"/>
        <v>0</v>
      </c>
      <c r="AY80" s="1087"/>
      <c r="AZ80" s="1088"/>
      <c r="BA80" s="989">
        <f t="shared" si="82"/>
        <v>80.927643512418385</v>
      </c>
      <c r="BB80" s="990">
        <f t="shared" si="83"/>
        <v>2.3342268102803113E-2</v>
      </c>
      <c r="BC80" s="1089"/>
      <c r="BD80" s="992">
        <f t="shared" si="84"/>
        <v>0</v>
      </c>
      <c r="BE80" s="1090">
        <f t="shared" si="85"/>
        <v>0</v>
      </c>
      <c r="BF80" s="1091"/>
      <c r="BG80" s="995">
        <f t="shared" si="86"/>
        <v>127.28626800200496</v>
      </c>
      <c r="BH80" s="996" t="e">
        <f>#REF!+BB80+BE80</f>
        <v>#REF!</v>
      </c>
      <c r="BI80" s="1125"/>
      <c r="BJ80" s="997">
        <v>3467</v>
      </c>
      <c r="BK80" s="1748"/>
      <c r="BL80" s="1681" t="e">
        <f>BH80+#REF!+U80</f>
        <v>#REF!</v>
      </c>
      <c r="BM80" s="879" t="s">
        <v>66</v>
      </c>
      <c r="BN80" s="1173">
        <f t="shared" si="46"/>
        <v>3467.2202669485036</v>
      </c>
      <c r="BO80" s="1591"/>
      <c r="BP80" s="1670">
        <f t="shared" si="53"/>
        <v>-0.22026694850364947</v>
      </c>
      <c r="BQ80" s="24">
        <f t="shared" si="49"/>
        <v>3497.2967355424244</v>
      </c>
      <c r="BR80" s="702">
        <f t="shared" si="50"/>
        <v>-30.296735542424358</v>
      </c>
      <c r="BV80" s="1071" t="s">
        <v>67</v>
      </c>
      <c r="BX80" s="24">
        <f t="shared" si="51"/>
        <v>3467.2202669485036</v>
      </c>
      <c r="BY80" s="24">
        <f t="shared" si="38"/>
        <v>-0.22026694850364947</v>
      </c>
      <c r="BZ80" s="15">
        <f t="shared" si="42"/>
        <v>0</v>
      </c>
    </row>
    <row r="81" spans="1:81">
      <c r="A81" s="1071" t="str">
        <f t="shared" si="52"/>
        <v>Location diverses</v>
      </c>
      <c r="B81" s="705">
        <f t="shared" si="59"/>
        <v>1.6073309538905667</v>
      </c>
      <c r="C81" s="1072">
        <f t="shared" si="60"/>
        <v>1.6073309538905668E-2</v>
      </c>
      <c r="D81" s="1073"/>
      <c r="E81" s="705">
        <f t="shared" si="61"/>
        <v>0</v>
      </c>
      <c r="F81" s="1073">
        <f t="shared" si="62"/>
        <v>0</v>
      </c>
      <c r="G81" s="705">
        <f t="shared" si="63"/>
        <v>1.6073309538905667</v>
      </c>
      <c r="H81" s="1074">
        <f t="shared" si="63"/>
        <v>1.6073309538905668E-2</v>
      </c>
      <c r="I81" s="1075"/>
      <c r="J81" s="1711"/>
      <c r="K81" s="711">
        <f t="shared" si="64"/>
        <v>4.0175652036033567</v>
      </c>
      <c r="L81" s="964">
        <f t="shared" si="65"/>
        <v>4.0175652036033564E-2</v>
      </c>
      <c r="M81" s="1633"/>
      <c r="N81" s="713">
        <f t="shared" si="55"/>
        <v>11.248431038269782</v>
      </c>
      <c r="O81" s="965">
        <f t="shared" si="66"/>
        <v>0.11248431038269782</v>
      </c>
      <c r="P81" s="1650"/>
      <c r="Q81" s="1523">
        <f t="shared" si="56"/>
        <v>4.1536443211663254</v>
      </c>
      <c r="R81" s="1524">
        <f t="shared" si="67"/>
        <v>4.1536443211663256E-2</v>
      </c>
      <c r="S81" s="1529"/>
      <c r="T81" s="715">
        <f t="shared" si="57"/>
        <v>21.026971516930033</v>
      </c>
      <c r="U81" s="966">
        <f t="shared" si="58"/>
        <v>0.21026971516930029</v>
      </c>
      <c r="V81" s="1076"/>
      <c r="W81" s="1879"/>
      <c r="X81" s="923" t="str">
        <f t="shared" si="36"/>
        <v>Location diverses</v>
      </c>
      <c r="Y81" s="1093">
        <f t="shared" si="68"/>
        <v>54.018339720870067</v>
      </c>
      <c r="Z81" s="1094">
        <f t="shared" si="69"/>
        <v>0.54018339720870068</v>
      </c>
      <c r="AA81" s="1612"/>
      <c r="AB81" s="970">
        <f t="shared" si="70"/>
        <v>19.879290488404017</v>
      </c>
      <c r="AC81" s="971">
        <f t="shared" si="71"/>
        <v>0.19879290488404017</v>
      </c>
      <c r="AD81" s="972"/>
      <c r="AE81" s="973">
        <f t="shared" si="72"/>
        <v>1.4103852638881653</v>
      </c>
      <c r="AF81" s="1095">
        <f t="shared" si="73"/>
        <v>1.4103852638881654E-2</v>
      </c>
      <c r="AG81" s="1096"/>
      <c r="AH81" s="976">
        <f t="shared" si="74"/>
        <v>0</v>
      </c>
      <c r="AI81" s="1097">
        <f t="shared" si="75"/>
        <v>0</v>
      </c>
      <c r="AJ81" s="1098"/>
      <c r="AK81" s="979">
        <f t="shared" si="76"/>
        <v>0</v>
      </c>
      <c r="AL81" s="1099">
        <f t="shared" si="77"/>
        <v>0</v>
      </c>
      <c r="AM81" s="981"/>
      <c r="AN81" s="999"/>
      <c r="AO81" s="1000"/>
      <c r="AP81" s="1001"/>
      <c r="AQ81" s="985">
        <f t="shared" si="87"/>
        <v>75.308015473162243</v>
      </c>
      <c r="AR81" s="736"/>
      <c r="AS81" s="1914"/>
      <c r="AT81" s="801" t="str">
        <f t="shared" si="48"/>
        <v>Location diverses</v>
      </c>
      <c r="AU81" s="737">
        <f t="shared" si="78"/>
        <v>1.3371394430223991</v>
      </c>
      <c r="AV81" s="1085">
        <f t="shared" si="79"/>
        <v>1.337139443022399E-2</v>
      </c>
      <c r="AW81" s="986">
        <f t="shared" si="80"/>
        <v>0</v>
      </c>
      <c r="AX81" s="1086">
        <f t="shared" si="81"/>
        <v>0</v>
      </c>
      <c r="AY81" s="1087"/>
      <c r="AZ81" s="1088"/>
      <c r="BA81" s="989">
        <f t="shared" si="82"/>
        <v>2.3342268102803114</v>
      </c>
      <c r="BB81" s="990">
        <f t="shared" si="83"/>
        <v>2.3342268102803113E-2</v>
      </c>
      <c r="BC81" s="1089"/>
      <c r="BD81" s="992">
        <f t="shared" si="84"/>
        <v>0</v>
      </c>
      <c r="BE81" s="1090">
        <f t="shared" si="85"/>
        <v>0</v>
      </c>
      <c r="BF81" s="1091"/>
      <c r="BG81" s="995">
        <f t="shared" si="86"/>
        <v>3.6713662533027103</v>
      </c>
      <c r="BH81" s="996" t="e">
        <f>#REF!+BB81+BE81</f>
        <v>#REF!</v>
      </c>
      <c r="BI81" s="1125"/>
      <c r="BJ81" s="997">
        <v>100</v>
      </c>
      <c r="BK81" s="1748"/>
      <c r="BL81" s="1681" t="e">
        <f>BH81+#REF!+U81</f>
        <v>#REF!</v>
      </c>
      <c r="BM81" s="879" t="s">
        <v>68</v>
      </c>
      <c r="BN81" s="1173">
        <f t="shared" si="46"/>
        <v>100.00635324339498</v>
      </c>
      <c r="BO81" s="1591"/>
      <c r="BP81" s="1670">
        <f t="shared" si="53"/>
        <v>-6.3532433949831102E-3</v>
      </c>
      <c r="BQ81" s="24"/>
      <c r="BR81" s="702"/>
      <c r="BV81" s="1071" t="s">
        <v>68</v>
      </c>
      <c r="BX81" s="24">
        <f t="shared" si="51"/>
        <v>100.00635324339498</v>
      </c>
      <c r="BY81" s="24">
        <f t="shared" si="38"/>
        <v>-6.3532433949831102E-3</v>
      </c>
      <c r="BZ81" s="15">
        <f t="shared" si="42"/>
        <v>0</v>
      </c>
    </row>
    <row r="82" spans="1:81">
      <c r="A82" s="1071" t="str">
        <f t="shared" si="52"/>
        <v xml:space="preserve">ML - Entretien des locaux </v>
      </c>
      <c r="B82" s="1101"/>
      <c r="C82" s="1102"/>
      <c r="D82" s="1103"/>
      <c r="E82" s="1101"/>
      <c r="F82" s="1103"/>
      <c r="G82" s="1101"/>
      <c r="H82" s="1108"/>
      <c r="I82" s="1109"/>
      <c r="J82" s="1713"/>
      <c r="K82" s="1101"/>
      <c r="L82" s="1108"/>
      <c r="M82" s="1637"/>
      <c r="N82" s="1101"/>
      <c r="O82" s="1110"/>
      <c r="P82" s="1637"/>
      <c r="Q82" s="1101"/>
      <c r="R82" s="1108"/>
      <c r="S82" s="1111"/>
      <c r="T82" s="1101"/>
      <c r="U82" s="1108"/>
      <c r="V82" s="1112"/>
      <c r="W82" s="1879"/>
      <c r="X82" s="923" t="str">
        <f t="shared" si="36"/>
        <v xml:space="preserve">ML - Entretien des locaux </v>
      </c>
      <c r="Y82" s="1093">
        <f t="shared" si="68"/>
        <v>0</v>
      </c>
      <c r="Z82" s="1094">
        <f>$AA$6/($AR$6)</f>
        <v>0.71729867506760614</v>
      </c>
      <c r="AA82" s="1612"/>
      <c r="AB82" s="970">
        <f t="shared" si="70"/>
        <v>0</v>
      </c>
      <c r="AC82" s="971">
        <f>$AD$6/($AR$6)</f>
        <v>0.26397310251109274</v>
      </c>
      <c r="AD82" s="972"/>
      <c r="AE82" s="973">
        <f t="shared" si="72"/>
        <v>0</v>
      </c>
      <c r="AF82" s="1095">
        <f>$AG$6/($AR$6)</f>
        <v>1.8728222421301073E-2</v>
      </c>
      <c r="AG82" s="1096"/>
      <c r="AH82" s="976">
        <f t="shared" si="74"/>
        <v>0</v>
      </c>
      <c r="AI82" s="1097">
        <f>$AJ$6/$AR$6</f>
        <v>0</v>
      </c>
      <c r="AJ82" s="1098"/>
      <c r="AK82" s="979">
        <f t="shared" si="76"/>
        <v>0</v>
      </c>
      <c r="AL82" s="1099">
        <f>$AM$6/$AR$6</f>
        <v>0</v>
      </c>
      <c r="AM82" s="981"/>
      <c r="AN82" s="982">
        <f>BJ82*AO82</f>
        <v>0</v>
      </c>
      <c r="AO82" s="1100">
        <f>$AP$6/$AR$6</f>
        <v>6.2226164041336851E-3</v>
      </c>
      <c r="AP82" s="984"/>
      <c r="AQ82" s="985">
        <f t="shared" si="87"/>
        <v>0</v>
      </c>
      <c r="AR82" s="736"/>
      <c r="AS82" s="1914"/>
      <c r="AT82" s="801" t="str">
        <f t="shared" si="48"/>
        <v xml:space="preserve">ML - Entretien des locaux </v>
      </c>
      <c r="AU82" s="1118"/>
      <c r="AV82" s="1119"/>
      <c r="AW82" s="1120"/>
      <c r="AX82" s="1000"/>
      <c r="AY82" s="1121"/>
      <c r="AZ82" s="1122"/>
      <c r="BA82" s="999"/>
      <c r="BB82" s="1123"/>
      <c r="BC82" s="1119"/>
      <c r="BD82" s="999"/>
      <c r="BE82" s="1000"/>
      <c r="BF82" s="1119"/>
      <c r="BG82" s="999"/>
      <c r="BH82" s="1000"/>
      <c r="BI82" s="1124"/>
      <c r="BJ82" s="997">
        <v>0</v>
      </c>
      <c r="BK82" s="1748"/>
      <c r="BL82" s="1681" t="e">
        <f>BH82+#REF!+U82</f>
        <v>#REF!</v>
      </c>
      <c r="BM82" s="879" t="s">
        <v>69</v>
      </c>
      <c r="BN82" s="1173">
        <f t="shared" si="46"/>
        <v>0</v>
      </c>
      <c r="BO82" s="1591"/>
      <c r="BP82" s="1670">
        <f t="shared" si="53"/>
        <v>0</v>
      </c>
      <c r="BQ82" s="24">
        <f>BD82+BA82+AW82+AU82+AN82+AK82+AH82+AE82+AB82+Y82+Q82+N82+K82+G82</f>
        <v>0</v>
      </c>
      <c r="BR82" s="702">
        <f>BJ82-BQ82</f>
        <v>0</v>
      </c>
      <c r="BV82" s="1071" t="s">
        <v>69</v>
      </c>
      <c r="BX82" s="24">
        <f t="shared" si="51"/>
        <v>0</v>
      </c>
      <c r="BY82" s="24">
        <f t="shared" si="38"/>
        <v>0</v>
      </c>
      <c r="BZ82" s="15">
        <f t="shared" si="42"/>
        <v>0</v>
      </c>
    </row>
    <row r="83" spans="1:81">
      <c r="A83" s="1071" t="str">
        <f t="shared" si="52"/>
        <v xml:space="preserve">MDE/CBE - Entretien des locaux </v>
      </c>
      <c r="B83" s="705">
        <f t="shared" ref="B83:B89" si="88">BJ83*C83</f>
        <v>0</v>
      </c>
      <c r="C83" s="1072">
        <f>($D$6/($V$6+$BI$6))</f>
        <v>6.5078507260021998E-2</v>
      </c>
      <c r="D83" s="1073"/>
      <c r="E83" s="705">
        <f t="shared" ref="E83:E89" si="89">BJ83*F83</f>
        <v>0</v>
      </c>
      <c r="F83" s="1073">
        <f>$F$6/($V$6+$BI$6)</f>
        <v>0</v>
      </c>
      <c r="G83" s="705">
        <f t="shared" ref="G83:G91" si="90">E83+B83</f>
        <v>0</v>
      </c>
      <c r="H83" s="1074">
        <f t="shared" ref="H83:H91" si="91">F83+C83</f>
        <v>6.5078507260021998E-2</v>
      </c>
      <c r="I83" s="1075"/>
      <c r="J83" s="1711"/>
      <c r="K83" s="711">
        <f t="shared" ref="K83:K91" si="92">BJ83*L83</f>
        <v>0</v>
      </c>
      <c r="L83" s="964">
        <f>$M$6/($V$6+$BI$6)</f>
        <v>0.16266540853795675</v>
      </c>
      <c r="M83" s="1633"/>
      <c r="N83" s="713">
        <f t="shared" ref="N83:N89" si="93">BJ83*O83</f>
        <v>0</v>
      </c>
      <c r="O83" s="965">
        <f>$P$6/($V$6+$BI$6)</f>
        <v>0.45543271546908581</v>
      </c>
      <c r="P83" s="1650"/>
      <c r="Q83" s="1523">
        <f t="shared" ref="Q83:Q89" si="94">BJ83*R83</f>
        <v>0</v>
      </c>
      <c r="R83" s="1524">
        <f>$S$6/($V$6+$BI$6)</f>
        <v>0.16817505533398427</v>
      </c>
      <c r="S83" s="1529"/>
      <c r="T83" s="715">
        <f t="shared" si="57"/>
        <v>0</v>
      </c>
      <c r="U83" s="966">
        <f t="shared" si="58"/>
        <v>0.85135168660104887</v>
      </c>
      <c r="V83" s="1076"/>
      <c r="W83" s="1879"/>
      <c r="X83" s="923" t="str">
        <f t="shared" si="36"/>
        <v xml:space="preserve">MDE/CBE - Entretien des locaux </v>
      </c>
      <c r="Y83" s="1101"/>
      <c r="Z83" s="1108"/>
      <c r="AA83" s="1617"/>
      <c r="AB83" s="1177"/>
      <c r="AC83" s="1178"/>
      <c r="AD83" s="1109"/>
      <c r="AE83" s="1101"/>
      <c r="AF83" s="1108"/>
      <c r="AG83" s="1109"/>
      <c r="AH83" s="1101"/>
      <c r="AI83" s="1108"/>
      <c r="AJ83" s="1109"/>
      <c r="AK83" s="999"/>
      <c r="AL83" s="1000"/>
      <c r="AM83" s="1001"/>
      <c r="AN83" s="999"/>
      <c r="AO83" s="1000"/>
      <c r="AP83" s="1001"/>
      <c r="AQ83" s="1180"/>
      <c r="AR83" s="736"/>
      <c r="AS83" s="1914"/>
      <c r="AT83" s="801" t="str">
        <f t="shared" si="48"/>
        <v xml:space="preserve">MDE/CBE - Entretien des locaux </v>
      </c>
      <c r="AU83" s="737">
        <f t="shared" ref="AU83:AU89" si="95">BJ83*AV83</f>
        <v>0</v>
      </c>
      <c r="AV83" s="1085">
        <f t="shared" ref="AV83:AV89" si="96">$AV$6/$BL$6</f>
        <v>1.337139443022399E-2</v>
      </c>
      <c r="AW83" s="986">
        <f>1476.06*AX83</f>
        <v>0</v>
      </c>
      <c r="AX83" s="1086">
        <f>$AY$6/$BI$6</f>
        <v>0</v>
      </c>
      <c r="AY83" s="1087"/>
      <c r="AZ83" s="1088"/>
      <c r="BA83" s="989">
        <f t="shared" ref="BA83:BA89" si="97">BJ83*BB83</f>
        <v>0</v>
      </c>
      <c r="BB83" s="990">
        <f>$BC$6/($BI$6+$V$6)</f>
        <v>9.4509469908278562E-2</v>
      </c>
      <c r="BC83" s="1089"/>
      <c r="BD83" s="992">
        <f t="shared" ref="BD83:BD89" si="98">BJ83*BE83</f>
        <v>0</v>
      </c>
      <c r="BE83" s="1090">
        <f>$BF$6/($BI$6+$V$6)</f>
        <v>0</v>
      </c>
      <c r="BF83" s="1091"/>
      <c r="BG83" s="995">
        <f t="shared" ref="BG83:BG89" si="99">AU83+BA83+BD83</f>
        <v>0</v>
      </c>
      <c r="BH83" s="996" t="e">
        <f>#REF!+BB83+BE83</f>
        <v>#REF!</v>
      </c>
      <c r="BI83" s="1125"/>
      <c r="BJ83" s="997"/>
      <c r="BK83" s="1748"/>
      <c r="BL83" s="1681" t="e">
        <f>BH83+#REF!+U83</f>
        <v>#REF!</v>
      </c>
      <c r="BM83" s="879" t="s">
        <v>70</v>
      </c>
      <c r="BN83" s="1173">
        <f t="shared" si="46"/>
        <v>0</v>
      </c>
      <c r="BO83" s="1591"/>
      <c r="BP83" s="1670">
        <f t="shared" si="53"/>
        <v>0</v>
      </c>
      <c r="BQ83" s="24">
        <f>BD83+BA83+AW83+AU83+AN83+AK83+AH83+AE83+AB83+Y83+Q83+N83+K83+G83</f>
        <v>0</v>
      </c>
      <c r="BR83" s="702">
        <f>BJ83-BQ83</f>
        <v>0</v>
      </c>
      <c r="BV83" s="1071" t="s">
        <v>70</v>
      </c>
      <c r="BX83" s="24">
        <f t="shared" si="51"/>
        <v>0</v>
      </c>
      <c r="BY83" s="24">
        <f t="shared" si="38"/>
        <v>0</v>
      </c>
      <c r="BZ83" s="15">
        <f t="shared" si="42"/>
        <v>0</v>
      </c>
    </row>
    <row r="84" spans="1:81">
      <c r="A84" s="1071" t="str">
        <f t="shared" si="52"/>
        <v xml:space="preserve">MEF - Entretien matériel </v>
      </c>
      <c r="B84" s="705">
        <f t="shared" si="88"/>
        <v>1.6073309538905667</v>
      </c>
      <c r="C84" s="1072">
        <f t="shared" ref="C84:C89" si="100">($D$6/$BL$6)</f>
        <v>1.6073309538905668E-2</v>
      </c>
      <c r="D84" s="1073"/>
      <c r="E84" s="705">
        <f t="shared" si="89"/>
        <v>0</v>
      </c>
      <c r="F84" s="1073">
        <f t="shared" ref="F84:F89" si="101">$F$6/$BL$6</f>
        <v>0</v>
      </c>
      <c r="G84" s="705">
        <f t="shared" si="90"/>
        <v>1.6073309538905667</v>
      </c>
      <c r="H84" s="1074">
        <f t="shared" si="91"/>
        <v>1.6073309538905668E-2</v>
      </c>
      <c r="I84" s="1075"/>
      <c r="J84" s="1711"/>
      <c r="K84" s="711">
        <f t="shared" si="92"/>
        <v>4.0175652036033567</v>
      </c>
      <c r="L84" s="964">
        <f t="shared" ref="L84:L89" si="102">$M$6/$BL$6</f>
        <v>4.0175652036033564E-2</v>
      </c>
      <c r="M84" s="1633"/>
      <c r="N84" s="713">
        <f t="shared" si="93"/>
        <v>11.248431038269782</v>
      </c>
      <c r="O84" s="965">
        <f t="shared" ref="O84:O89" si="103">$P$6/$BL$6</f>
        <v>0.11248431038269782</v>
      </c>
      <c r="P84" s="1650"/>
      <c r="Q84" s="1523">
        <f t="shared" si="94"/>
        <v>4.1536443211663254</v>
      </c>
      <c r="R84" s="1524">
        <f t="shared" ref="R84:R89" si="104">($S$6/$BL$6)</f>
        <v>4.1536443211663256E-2</v>
      </c>
      <c r="S84" s="1529"/>
      <c r="T84" s="715">
        <f t="shared" si="57"/>
        <v>21.026971516930033</v>
      </c>
      <c r="U84" s="966">
        <f t="shared" si="58"/>
        <v>0.21026971516930029</v>
      </c>
      <c r="V84" s="1076"/>
      <c r="W84" s="1879"/>
      <c r="X84" s="923" t="str">
        <f t="shared" si="36"/>
        <v xml:space="preserve">MEF - Entretien matériel </v>
      </c>
      <c r="Y84" s="1093">
        <f t="shared" ref="Y84:Y89" si="105">BJ84*Z84</f>
        <v>54.018339720870067</v>
      </c>
      <c r="Z84" s="1094">
        <f t="shared" ref="Z84:Z89" si="106">$AA$6/($BL$6)</f>
        <v>0.54018339720870068</v>
      </c>
      <c r="AA84" s="1612"/>
      <c r="AB84" s="970">
        <f t="shared" ref="AB84:AB89" si="107">BJ84*AC84</f>
        <v>19.879290488404017</v>
      </c>
      <c r="AC84" s="971">
        <f t="shared" ref="AC84:AC89" si="108">$AD$6/($BL$6)</f>
        <v>0.19879290488404017</v>
      </c>
      <c r="AD84" s="972"/>
      <c r="AE84" s="973">
        <f t="shared" ref="AE84:AE89" si="109">BJ84*AF84</f>
        <v>1.4103852638881653</v>
      </c>
      <c r="AF84" s="1095">
        <f t="shared" ref="AF84:AF89" si="110">$AG$6/($BL$6)</f>
        <v>1.4103852638881654E-2</v>
      </c>
      <c r="AG84" s="1096"/>
      <c r="AH84" s="976">
        <f t="shared" ref="AH84:AH89" si="111">BJ84*AI84</f>
        <v>0</v>
      </c>
      <c r="AI84" s="1097">
        <f t="shared" ref="AI84:AI89" si="112">$AJ$6/($BL$6)</f>
        <v>0</v>
      </c>
      <c r="AJ84" s="1181"/>
      <c r="AK84" s="979">
        <f t="shared" ref="AK84:AK89" si="113">BJ84*AL84</f>
        <v>0</v>
      </c>
      <c r="AL84" s="1099">
        <f t="shared" ref="AL84:AL89" si="114">$AM$6/($BL$6)</f>
        <v>0</v>
      </c>
      <c r="AM84" s="981"/>
      <c r="AN84" s="999"/>
      <c r="AO84" s="1000"/>
      <c r="AP84" s="1001"/>
      <c r="AQ84" s="985">
        <f t="shared" si="87"/>
        <v>75.308015473162243</v>
      </c>
      <c r="AR84" s="736"/>
      <c r="AS84" s="1914"/>
      <c r="AT84" s="801" t="str">
        <f t="shared" si="48"/>
        <v xml:space="preserve">MEF - Entretien matériel </v>
      </c>
      <c r="AU84" s="737">
        <f t="shared" si="95"/>
        <v>1.3371394430223991</v>
      </c>
      <c r="AV84" s="1085">
        <f t="shared" si="96"/>
        <v>1.337139443022399E-2</v>
      </c>
      <c r="AW84" s="986">
        <f t="shared" ref="AW84:AW89" si="115">BJ84*AX84</f>
        <v>0</v>
      </c>
      <c r="AX84" s="1086">
        <f t="shared" ref="AX84:AX89" si="116">$AY$6/($BL$6)</f>
        <v>0</v>
      </c>
      <c r="AY84" s="1087"/>
      <c r="AZ84" s="1088"/>
      <c r="BA84" s="989">
        <f t="shared" si="97"/>
        <v>2.3342268102803114</v>
      </c>
      <c r="BB84" s="990">
        <f t="shared" ref="BB84:BB89" si="117">$BC$6/($BL$6)</f>
        <v>2.3342268102803113E-2</v>
      </c>
      <c r="BC84" s="1089"/>
      <c r="BD84" s="992">
        <f t="shared" si="98"/>
        <v>0</v>
      </c>
      <c r="BE84" s="1090">
        <f t="shared" ref="BE84:BE89" si="118">$BF$6/($BL$6)</f>
        <v>0</v>
      </c>
      <c r="BF84" s="1091"/>
      <c r="BG84" s="995">
        <f t="shared" si="99"/>
        <v>3.6713662533027103</v>
      </c>
      <c r="BH84" s="996" t="e">
        <f>#REF!+BB84+BE84</f>
        <v>#REF!</v>
      </c>
      <c r="BI84" s="1125"/>
      <c r="BJ84" s="997">
        <v>100</v>
      </c>
      <c r="BK84" s="1748"/>
      <c r="BL84" s="1681" t="e">
        <f>BH84+#REF!+U84</f>
        <v>#REF!</v>
      </c>
      <c r="BM84" s="879" t="s">
        <v>71</v>
      </c>
      <c r="BN84" s="1173">
        <f t="shared" si="46"/>
        <v>100.00635324339498</v>
      </c>
      <c r="BO84" s="1591"/>
      <c r="BP84" s="1670">
        <f t="shared" si="53"/>
        <v>-6.3532433949831102E-3</v>
      </c>
      <c r="BQ84" s="24"/>
      <c r="BR84" s="702"/>
      <c r="BV84" s="1071" t="s">
        <v>71</v>
      </c>
      <c r="BX84" s="24">
        <f t="shared" si="51"/>
        <v>100.00635324339498</v>
      </c>
      <c r="BY84" s="24">
        <f t="shared" si="38"/>
        <v>-6.3532433949831102E-3</v>
      </c>
      <c r="BZ84" s="15">
        <f t="shared" si="42"/>
        <v>0</v>
      </c>
    </row>
    <row r="85" spans="1:81">
      <c r="A85" s="1071" t="str">
        <f t="shared" si="52"/>
        <v>Entretien matériel de tpt</v>
      </c>
      <c r="B85" s="705">
        <f t="shared" si="88"/>
        <v>6.4293238155622667</v>
      </c>
      <c r="C85" s="1072">
        <f t="shared" si="100"/>
        <v>1.6073309538905668E-2</v>
      </c>
      <c r="D85" s="1073"/>
      <c r="E85" s="705">
        <f t="shared" si="89"/>
        <v>0</v>
      </c>
      <c r="F85" s="1073">
        <f t="shared" si="101"/>
        <v>0</v>
      </c>
      <c r="G85" s="705">
        <f t="shared" si="90"/>
        <v>6.4293238155622667</v>
      </c>
      <c r="H85" s="1074">
        <f t="shared" si="91"/>
        <v>1.6073309538905668E-2</v>
      </c>
      <c r="I85" s="1075"/>
      <c r="J85" s="1711"/>
      <c r="K85" s="711">
        <f t="shared" si="92"/>
        <v>16.070260814413427</v>
      </c>
      <c r="L85" s="964">
        <f t="shared" si="102"/>
        <v>4.0175652036033564E-2</v>
      </c>
      <c r="M85" s="1633"/>
      <c r="N85" s="713">
        <f t="shared" si="93"/>
        <v>44.993724153079128</v>
      </c>
      <c r="O85" s="965">
        <f t="shared" si="103"/>
        <v>0.11248431038269782</v>
      </c>
      <c r="P85" s="1650"/>
      <c r="Q85" s="1523">
        <f t="shared" si="94"/>
        <v>16.614577284665302</v>
      </c>
      <c r="R85" s="1524">
        <f t="shared" si="104"/>
        <v>4.1536443211663256E-2</v>
      </c>
      <c r="S85" s="1529"/>
      <c r="T85" s="715">
        <f t="shared" si="57"/>
        <v>84.107886067720131</v>
      </c>
      <c r="U85" s="966">
        <f t="shared" si="58"/>
        <v>0.21026971516930029</v>
      </c>
      <c r="V85" s="1076"/>
      <c r="W85" s="1879"/>
      <c r="X85" s="923" t="str">
        <f t="shared" si="36"/>
        <v>Entretien matériel de tpt</v>
      </c>
      <c r="Y85" s="1093">
        <f t="shared" si="105"/>
        <v>216.07335888348027</v>
      </c>
      <c r="Z85" s="1094">
        <f t="shared" si="106"/>
        <v>0.54018339720870068</v>
      </c>
      <c r="AA85" s="1612"/>
      <c r="AB85" s="970">
        <f t="shared" si="107"/>
        <v>79.517161953616068</v>
      </c>
      <c r="AC85" s="971">
        <f t="shared" si="108"/>
        <v>0.19879290488404017</v>
      </c>
      <c r="AD85" s="972"/>
      <c r="AE85" s="973">
        <f t="shared" si="109"/>
        <v>5.6415410555526613</v>
      </c>
      <c r="AF85" s="1095">
        <f t="shared" si="110"/>
        <v>1.4103852638881654E-2</v>
      </c>
      <c r="AG85" s="1096"/>
      <c r="AH85" s="976">
        <f t="shared" si="111"/>
        <v>0</v>
      </c>
      <c r="AI85" s="1097">
        <f t="shared" si="112"/>
        <v>0</v>
      </c>
      <c r="AJ85" s="1098"/>
      <c r="AK85" s="979">
        <f t="shared" si="113"/>
        <v>0</v>
      </c>
      <c r="AL85" s="1099">
        <f t="shared" si="114"/>
        <v>0</v>
      </c>
      <c r="AM85" s="981"/>
      <c r="AN85" s="999"/>
      <c r="AO85" s="1000"/>
      <c r="AP85" s="1001"/>
      <c r="AQ85" s="985">
        <f t="shared" si="87"/>
        <v>301.23206189264897</v>
      </c>
      <c r="AR85" s="736"/>
      <c r="AS85" s="1914"/>
      <c r="AT85" s="801" t="str">
        <f t="shared" si="48"/>
        <v>Entretien matériel de tpt</v>
      </c>
      <c r="AU85" s="737">
        <f t="shared" si="95"/>
        <v>5.3485577720895963</v>
      </c>
      <c r="AV85" s="1085">
        <f t="shared" si="96"/>
        <v>1.337139443022399E-2</v>
      </c>
      <c r="AW85" s="986">
        <f t="shared" si="115"/>
        <v>0</v>
      </c>
      <c r="AX85" s="1086">
        <f t="shared" si="116"/>
        <v>0</v>
      </c>
      <c r="AY85" s="1087"/>
      <c r="AZ85" s="1088"/>
      <c r="BA85" s="989">
        <f t="shared" si="97"/>
        <v>9.3369072411212457</v>
      </c>
      <c r="BB85" s="990">
        <f t="shared" si="117"/>
        <v>2.3342268102803113E-2</v>
      </c>
      <c r="BC85" s="1089"/>
      <c r="BD85" s="992">
        <f t="shared" si="98"/>
        <v>0</v>
      </c>
      <c r="BE85" s="1090">
        <f t="shared" si="118"/>
        <v>0</v>
      </c>
      <c r="BF85" s="1091"/>
      <c r="BG85" s="995">
        <f t="shared" si="99"/>
        <v>14.685465013210841</v>
      </c>
      <c r="BH85" s="996" t="e">
        <f>#REF!+BB85+BE85</f>
        <v>#REF!</v>
      </c>
      <c r="BI85" s="1125"/>
      <c r="BJ85" s="997">
        <v>400</v>
      </c>
      <c r="BK85" s="1748"/>
      <c r="BL85" s="1681" t="e">
        <f>BH85+#REF!+U85</f>
        <v>#REF!</v>
      </c>
      <c r="BM85" s="879" t="s">
        <v>72</v>
      </c>
      <c r="BN85" s="1173">
        <f t="shared" si="46"/>
        <v>400.02541297357993</v>
      </c>
      <c r="BO85" s="1591"/>
      <c r="BP85" s="1670">
        <f t="shared" si="53"/>
        <v>-2.5412973579932441E-2</v>
      </c>
      <c r="BQ85" s="24"/>
      <c r="BR85" s="702"/>
      <c r="BV85" s="1071" t="s">
        <v>72</v>
      </c>
      <c r="BX85" s="24">
        <f t="shared" si="51"/>
        <v>400.02541297357993</v>
      </c>
      <c r="BY85" s="24">
        <f t="shared" si="38"/>
        <v>-2.5412973579932441E-2</v>
      </c>
      <c r="BZ85" s="15">
        <f t="shared" si="42"/>
        <v>0</v>
      </c>
    </row>
    <row r="86" spans="1:81" ht="15.75" customHeight="1">
      <c r="A86" s="1071" t="str">
        <f t="shared" si="52"/>
        <v>MEF - Maintenance photocopieur</v>
      </c>
      <c r="B86" s="705">
        <f t="shared" si="88"/>
        <v>57.863914340060404</v>
      </c>
      <c r="C86" s="1072">
        <f t="shared" si="100"/>
        <v>1.6073309538905668E-2</v>
      </c>
      <c r="D86" s="1073"/>
      <c r="E86" s="705">
        <f t="shared" si="89"/>
        <v>0</v>
      </c>
      <c r="F86" s="1073">
        <f t="shared" si="101"/>
        <v>0</v>
      </c>
      <c r="G86" s="705">
        <f t="shared" si="90"/>
        <v>57.863914340060404</v>
      </c>
      <c r="H86" s="1074">
        <f t="shared" si="91"/>
        <v>1.6073309538905668E-2</v>
      </c>
      <c r="I86" s="1075"/>
      <c r="J86" s="1711"/>
      <c r="K86" s="711">
        <f t="shared" si="92"/>
        <v>144.63234732972083</v>
      </c>
      <c r="L86" s="964">
        <f t="shared" si="102"/>
        <v>4.0175652036033564E-2</v>
      </c>
      <c r="M86" s="1633"/>
      <c r="N86" s="713">
        <f t="shared" si="93"/>
        <v>404.94351737771217</v>
      </c>
      <c r="O86" s="965">
        <f t="shared" si="103"/>
        <v>0.11248431038269782</v>
      </c>
      <c r="P86" s="1650"/>
      <c r="Q86" s="1523">
        <f t="shared" si="94"/>
        <v>149.53119556198772</v>
      </c>
      <c r="R86" s="1524">
        <f t="shared" si="104"/>
        <v>4.1536443211663256E-2</v>
      </c>
      <c r="S86" s="1529"/>
      <c r="T86" s="715">
        <f t="shared" si="57"/>
        <v>756.97097460948112</v>
      </c>
      <c r="U86" s="966">
        <f t="shared" si="58"/>
        <v>0.21026971516930029</v>
      </c>
      <c r="V86" s="1076"/>
      <c r="W86" s="1879"/>
      <c r="X86" s="923" t="str">
        <f t="shared" si="36"/>
        <v>MEF - Maintenance photocopieur</v>
      </c>
      <c r="Y86" s="1093">
        <f t="shared" si="105"/>
        <v>1944.6602299513224</v>
      </c>
      <c r="Z86" s="1094">
        <f t="shared" si="106"/>
        <v>0.54018339720870068</v>
      </c>
      <c r="AA86" s="1612"/>
      <c r="AB86" s="970">
        <f t="shared" si="107"/>
        <v>715.65445758254464</v>
      </c>
      <c r="AC86" s="971">
        <f t="shared" si="108"/>
        <v>0.19879290488404017</v>
      </c>
      <c r="AD86" s="972"/>
      <c r="AE86" s="973">
        <f t="shared" si="109"/>
        <v>50.773869499973955</v>
      </c>
      <c r="AF86" s="1095">
        <f t="shared" si="110"/>
        <v>1.4103852638881654E-2</v>
      </c>
      <c r="AG86" s="1096"/>
      <c r="AH86" s="976">
        <f t="shared" si="111"/>
        <v>0</v>
      </c>
      <c r="AI86" s="1097">
        <f t="shared" si="112"/>
        <v>0</v>
      </c>
      <c r="AJ86" s="1098"/>
      <c r="AK86" s="979">
        <f t="shared" si="113"/>
        <v>0</v>
      </c>
      <c r="AL86" s="1099">
        <f t="shared" si="114"/>
        <v>0</v>
      </c>
      <c r="AM86" s="981"/>
      <c r="AN86" s="982">
        <f>BJ86*AO86</f>
        <v>31.230252938596195</v>
      </c>
      <c r="AO86" s="1100">
        <f>$AP$6/$AA$6</f>
        <v>8.6750702607211651E-3</v>
      </c>
      <c r="AP86" s="984"/>
      <c r="AQ86" s="985">
        <f t="shared" si="87"/>
        <v>2711.088557033841</v>
      </c>
      <c r="AR86" s="736"/>
      <c r="AS86" s="1914"/>
      <c r="AT86" s="801" t="str">
        <f t="shared" si="48"/>
        <v>MEF - Maintenance photocopieur</v>
      </c>
      <c r="AU86" s="737">
        <f t="shared" si="95"/>
        <v>48.137019948806362</v>
      </c>
      <c r="AV86" s="1085">
        <f t="shared" si="96"/>
        <v>1.337139443022399E-2</v>
      </c>
      <c r="AW86" s="986">
        <f t="shared" si="115"/>
        <v>0</v>
      </c>
      <c r="AX86" s="1086">
        <f t="shared" si="116"/>
        <v>0</v>
      </c>
      <c r="AY86" s="1087"/>
      <c r="AZ86" s="1088"/>
      <c r="BA86" s="989">
        <f t="shared" si="97"/>
        <v>84.032165170091204</v>
      </c>
      <c r="BB86" s="990">
        <f t="shared" si="117"/>
        <v>2.3342268102803113E-2</v>
      </c>
      <c r="BC86" s="1089"/>
      <c r="BD86" s="992">
        <f t="shared" si="98"/>
        <v>0</v>
      </c>
      <c r="BE86" s="1090">
        <f t="shared" si="118"/>
        <v>0</v>
      </c>
      <c r="BF86" s="1091"/>
      <c r="BG86" s="995">
        <f t="shared" si="99"/>
        <v>132.16918511889756</v>
      </c>
      <c r="BH86" s="996" t="e">
        <f>#REF!+BB86+BE86</f>
        <v>#REF!</v>
      </c>
      <c r="BI86" s="1125"/>
      <c r="BJ86" s="997">
        <v>3600</v>
      </c>
      <c r="BK86" s="1748"/>
      <c r="BL86" s="1681" t="e">
        <f>BH86+#REF!+U86</f>
        <v>#REF!</v>
      </c>
      <c r="BM86" s="879" t="s">
        <v>73</v>
      </c>
      <c r="BN86" s="1173">
        <f t="shared" si="46"/>
        <v>3600.2287167622198</v>
      </c>
      <c r="BO86" s="1593"/>
      <c r="BP86" s="1670">
        <f t="shared" si="53"/>
        <v>-0.22871676221984671</v>
      </c>
      <c r="BQ86" s="24">
        <f>BD86+BA86+AW86+AU86+AN86+AK86+AH86+AE86+AB86+Y86+Q86+N86+K86+G86</f>
        <v>3631.4589697008159</v>
      </c>
      <c r="BR86" s="702">
        <f>BJ86-BQ86</f>
        <v>-31.458969700815942</v>
      </c>
      <c r="BV86" s="1182" t="s">
        <v>73</v>
      </c>
      <c r="BX86" s="24">
        <f t="shared" si="51"/>
        <v>3600.2287167622198</v>
      </c>
      <c r="BY86" s="24">
        <f t="shared" si="38"/>
        <v>-0.22871676221984671</v>
      </c>
      <c r="BZ86" s="15">
        <f t="shared" si="42"/>
        <v>0</v>
      </c>
    </row>
    <row r="87" spans="1:81">
      <c r="A87" s="1071" t="str">
        <f t="shared" si="52"/>
        <v>MEF - Maintenance des locaux</v>
      </c>
      <c r="B87" s="705">
        <f t="shared" si="88"/>
        <v>0</v>
      </c>
      <c r="C87" s="1072">
        <f t="shared" si="100"/>
        <v>1.6073309538905668E-2</v>
      </c>
      <c r="D87" s="1073"/>
      <c r="E87" s="705">
        <f t="shared" si="89"/>
        <v>0</v>
      </c>
      <c r="F87" s="1073">
        <f t="shared" si="101"/>
        <v>0</v>
      </c>
      <c r="G87" s="705">
        <f t="shared" si="90"/>
        <v>0</v>
      </c>
      <c r="H87" s="1074">
        <f t="shared" si="91"/>
        <v>1.6073309538905668E-2</v>
      </c>
      <c r="I87" s="1075"/>
      <c r="J87" s="1711"/>
      <c r="K87" s="711">
        <f t="shared" si="92"/>
        <v>0</v>
      </c>
      <c r="L87" s="964">
        <f t="shared" si="102"/>
        <v>4.0175652036033564E-2</v>
      </c>
      <c r="M87" s="1633"/>
      <c r="N87" s="713">
        <f t="shared" si="93"/>
        <v>0</v>
      </c>
      <c r="O87" s="965">
        <f t="shared" si="103"/>
        <v>0.11248431038269782</v>
      </c>
      <c r="P87" s="1650"/>
      <c r="Q87" s="1523">
        <f t="shared" si="94"/>
        <v>0</v>
      </c>
      <c r="R87" s="1524">
        <f t="shared" si="104"/>
        <v>4.1536443211663256E-2</v>
      </c>
      <c r="S87" s="1529"/>
      <c r="T87" s="715">
        <f t="shared" si="57"/>
        <v>0</v>
      </c>
      <c r="U87" s="966">
        <f t="shared" si="58"/>
        <v>0.21026971516930029</v>
      </c>
      <c r="V87" s="1076"/>
      <c r="W87" s="1879"/>
      <c r="X87" s="923" t="str">
        <f t="shared" si="36"/>
        <v>MEF - Maintenance des locaux</v>
      </c>
      <c r="Y87" s="1093">
        <f t="shared" si="105"/>
        <v>0</v>
      </c>
      <c r="Z87" s="1094">
        <f t="shared" si="106"/>
        <v>0.54018339720870068</v>
      </c>
      <c r="AA87" s="1612"/>
      <c r="AB87" s="970">
        <f t="shared" si="107"/>
        <v>0</v>
      </c>
      <c r="AC87" s="971">
        <f t="shared" si="108"/>
        <v>0.19879290488404017</v>
      </c>
      <c r="AD87" s="972"/>
      <c r="AE87" s="973">
        <f t="shared" si="109"/>
        <v>0</v>
      </c>
      <c r="AF87" s="1095">
        <f t="shared" si="110"/>
        <v>1.4103852638881654E-2</v>
      </c>
      <c r="AG87" s="1096"/>
      <c r="AH87" s="976">
        <f t="shared" si="111"/>
        <v>0</v>
      </c>
      <c r="AI87" s="1097">
        <f t="shared" si="112"/>
        <v>0</v>
      </c>
      <c r="AJ87" s="1098"/>
      <c r="AK87" s="979">
        <f t="shared" si="113"/>
        <v>0</v>
      </c>
      <c r="AL87" s="1099">
        <f t="shared" si="114"/>
        <v>0</v>
      </c>
      <c r="AM87" s="981"/>
      <c r="AN87" s="982">
        <f>BJ87*AO87</f>
        <v>0</v>
      </c>
      <c r="AO87" s="1100">
        <f>$AP$6/$AA$6</f>
        <v>8.6750702607211651E-3</v>
      </c>
      <c r="AP87" s="984"/>
      <c r="AQ87" s="985">
        <f t="shared" si="87"/>
        <v>0</v>
      </c>
      <c r="AR87" s="736"/>
      <c r="AS87" s="1914"/>
      <c r="AT87" s="801" t="str">
        <f t="shared" si="48"/>
        <v>MEF - Maintenance des locaux</v>
      </c>
      <c r="AU87" s="737">
        <f t="shared" si="95"/>
        <v>0</v>
      </c>
      <c r="AV87" s="1085">
        <f t="shared" si="96"/>
        <v>1.337139443022399E-2</v>
      </c>
      <c r="AW87" s="986">
        <f t="shared" si="115"/>
        <v>0</v>
      </c>
      <c r="AX87" s="1086">
        <f t="shared" si="116"/>
        <v>0</v>
      </c>
      <c r="AY87" s="1087"/>
      <c r="AZ87" s="1088"/>
      <c r="BA87" s="989">
        <f t="shared" si="97"/>
        <v>0</v>
      </c>
      <c r="BB87" s="990">
        <f t="shared" si="117"/>
        <v>2.3342268102803113E-2</v>
      </c>
      <c r="BC87" s="1089"/>
      <c r="BD87" s="992">
        <f t="shared" si="98"/>
        <v>0</v>
      </c>
      <c r="BE87" s="1090">
        <f t="shared" si="118"/>
        <v>0</v>
      </c>
      <c r="BF87" s="1091"/>
      <c r="BG87" s="995">
        <f t="shared" si="99"/>
        <v>0</v>
      </c>
      <c r="BH87" s="996" t="e">
        <f>#REF!+BB87+BE87</f>
        <v>#REF!</v>
      </c>
      <c r="BI87" s="1125"/>
      <c r="BJ87" s="997">
        <v>0</v>
      </c>
      <c r="BK87" s="1748"/>
      <c r="BL87" s="1681" t="e">
        <f>BH87+#REF!+U87</f>
        <v>#REF!</v>
      </c>
      <c r="BM87" s="879" t="s">
        <v>74</v>
      </c>
      <c r="BN87" s="1173">
        <f t="shared" si="46"/>
        <v>0</v>
      </c>
      <c r="BO87" s="1591"/>
      <c r="BP87" s="1670">
        <f t="shared" si="53"/>
        <v>0</v>
      </c>
      <c r="BQ87" s="24">
        <f>BD87+BA87+AW87+AU87+AN87+AK87+AH87+AE87+AB87+Y87+Q87+N87+K87+G87</f>
        <v>0</v>
      </c>
      <c r="BR87" s="702">
        <f>BJ87-BQ87</f>
        <v>0</v>
      </c>
      <c r="BV87" s="1071" t="s">
        <v>74</v>
      </c>
      <c r="BX87" s="24">
        <f t="shared" si="51"/>
        <v>0</v>
      </c>
      <c r="BY87" s="24">
        <f t="shared" si="38"/>
        <v>0</v>
      </c>
      <c r="BZ87" s="15">
        <f t="shared" si="42"/>
        <v>0</v>
      </c>
    </row>
    <row r="88" spans="1:81">
      <c r="A88" s="1071" t="str">
        <f t="shared" si="52"/>
        <v>prime d'assurance</v>
      </c>
      <c r="B88" s="705">
        <f t="shared" si="88"/>
        <v>27.324626216139634</v>
      </c>
      <c r="C88" s="1072">
        <f t="shared" si="100"/>
        <v>1.6073309538905668E-2</v>
      </c>
      <c r="D88" s="1073"/>
      <c r="E88" s="705">
        <f t="shared" si="89"/>
        <v>0</v>
      </c>
      <c r="F88" s="1073">
        <f t="shared" si="101"/>
        <v>0</v>
      </c>
      <c r="G88" s="705">
        <f t="shared" si="90"/>
        <v>27.324626216139634</v>
      </c>
      <c r="H88" s="1074">
        <f t="shared" si="91"/>
        <v>1.6073309538905668E-2</v>
      </c>
      <c r="I88" s="1075"/>
      <c r="J88" s="1711"/>
      <c r="K88" s="711">
        <f t="shared" si="92"/>
        <v>68.298608461257061</v>
      </c>
      <c r="L88" s="964">
        <f t="shared" si="102"/>
        <v>4.0175652036033564E-2</v>
      </c>
      <c r="M88" s="1633"/>
      <c r="N88" s="713">
        <f t="shared" si="93"/>
        <v>191.2233276505863</v>
      </c>
      <c r="O88" s="965">
        <f t="shared" si="103"/>
        <v>0.11248431038269782</v>
      </c>
      <c r="P88" s="1650"/>
      <c r="Q88" s="1523">
        <f t="shared" si="94"/>
        <v>70.611953459827532</v>
      </c>
      <c r="R88" s="1524">
        <f t="shared" si="104"/>
        <v>4.1536443211663256E-2</v>
      </c>
      <c r="S88" s="1529"/>
      <c r="T88" s="715">
        <f t="shared" si="57"/>
        <v>357.45851578781054</v>
      </c>
      <c r="U88" s="966">
        <f t="shared" si="58"/>
        <v>0.21026971516930029</v>
      </c>
      <c r="V88" s="1076"/>
      <c r="W88" s="1879"/>
      <c r="X88" s="923" t="str">
        <f t="shared" si="36"/>
        <v>prime d'assurance</v>
      </c>
      <c r="Y88" s="1093">
        <f t="shared" si="105"/>
        <v>918.3117752547912</v>
      </c>
      <c r="Z88" s="1094">
        <f t="shared" si="106"/>
        <v>0.54018339720870068</v>
      </c>
      <c r="AA88" s="1612"/>
      <c r="AB88" s="970">
        <f t="shared" si="107"/>
        <v>337.94793830286829</v>
      </c>
      <c r="AC88" s="971">
        <f t="shared" si="108"/>
        <v>0.19879290488404017</v>
      </c>
      <c r="AD88" s="972"/>
      <c r="AE88" s="973">
        <f t="shared" si="109"/>
        <v>23.976549486098811</v>
      </c>
      <c r="AF88" s="1095">
        <f t="shared" si="110"/>
        <v>1.4103852638881654E-2</v>
      </c>
      <c r="AG88" s="1096"/>
      <c r="AH88" s="976">
        <f t="shared" si="111"/>
        <v>0</v>
      </c>
      <c r="AI88" s="1097">
        <f t="shared" si="112"/>
        <v>0</v>
      </c>
      <c r="AJ88" s="1098"/>
      <c r="AK88" s="979">
        <f t="shared" si="113"/>
        <v>0</v>
      </c>
      <c r="AL88" s="1099">
        <f t="shared" si="114"/>
        <v>0</v>
      </c>
      <c r="AM88" s="981"/>
      <c r="AN88" s="982">
        <f>BJ88*AO88</f>
        <v>14.747619443225981</v>
      </c>
      <c r="AO88" s="1100">
        <f>$AP$6/$AA$6</f>
        <v>8.6750702607211651E-3</v>
      </c>
      <c r="AP88" s="984"/>
      <c r="AQ88" s="985">
        <f t="shared" si="87"/>
        <v>1280.2362630437583</v>
      </c>
      <c r="AR88" s="736"/>
      <c r="AS88" s="1914"/>
      <c r="AT88" s="801" t="str">
        <f t="shared" si="48"/>
        <v>prime d'assurance</v>
      </c>
      <c r="AU88" s="737">
        <f t="shared" si="95"/>
        <v>22.731370531380783</v>
      </c>
      <c r="AV88" s="1085">
        <f t="shared" si="96"/>
        <v>1.337139443022399E-2</v>
      </c>
      <c r="AW88" s="986">
        <f t="shared" si="115"/>
        <v>0</v>
      </c>
      <c r="AX88" s="1086">
        <f t="shared" si="116"/>
        <v>0</v>
      </c>
      <c r="AY88" s="1087"/>
      <c r="AZ88" s="1088"/>
      <c r="BA88" s="989">
        <f t="shared" si="97"/>
        <v>39.681855774765289</v>
      </c>
      <c r="BB88" s="990">
        <f t="shared" si="117"/>
        <v>2.3342268102803113E-2</v>
      </c>
      <c r="BC88" s="1089"/>
      <c r="BD88" s="992">
        <f t="shared" si="98"/>
        <v>0</v>
      </c>
      <c r="BE88" s="1090">
        <f t="shared" si="118"/>
        <v>0</v>
      </c>
      <c r="BF88" s="1091"/>
      <c r="BG88" s="995">
        <f t="shared" si="99"/>
        <v>62.413226306146072</v>
      </c>
      <c r="BH88" s="996" t="e">
        <f>#REF!+BB88+BE88</f>
        <v>#REF!</v>
      </c>
      <c r="BI88" s="1125"/>
      <c r="BJ88" s="997">
        <v>1700</v>
      </c>
      <c r="BK88" s="1748"/>
      <c r="BL88" s="1681" t="e">
        <f>BH88+#REF!+U88</f>
        <v>#REF!</v>
      </c>
      <c r="BM88" s="879" t="s">
        <v>75</v>
      </c>
      <c r="BN88" s="1173">
        <f t="shared" si="46"/>
        <v>1700.1080051377148</v>
      </c>
      <c r="BO88" s="1591"/>
      <c r="BP88" s="1670">
        <f t="shared" si="53"/>
        <v>-0.10800513771482656</v>
      </c>
      <c r="BQ88" s="24">
        <f>BD88+BA88+AW88+AU88+AN88+AK88+AH88+AE88+AB88+Y88+Q88+N88+K88+G88</f>
        <v>1714.8556245809409</v>
      </c>
      <c r="BR88" s="702">
        <f>BJ88-BQ88</f>
        <v>-14.855624580940912</v>
      </c>
      <c r="BV88" s="1071" t="s">
        <v>75</v>
      </c>
      <c r="BX88" s="24">
        <f t="shared" si="51"/>
        <v>1700.1080051377151</v>
      </c>
      <c r="BY88" s="24">
        <f t="shared" si="38"/>
        <v>-0.10800513771505393</v>
      </c>
      <c r="BZ88" s="15">
        <f t="shared" si="42"/>
        <v>0</v>
      </c>
    </row>
    <row r="89" spans="1:81">
      <c r="A89" s="1071" t="str">
        <f t="shared" si="52"/>
        <v>Doc générale MEF</v>
      </c>
      <c r="B89" s="705">
        <f t="shared" si="88"/>
        <v>4.8219928616717</v>
      </c>
      <c r="C89" s="1072">
        <f t="shared" si="100"/>
        <v>1.6073309538905668E-2</v>
      </c>
      <c r="D89" s="1073"/>
      <c r="E89" s="705">
        <f t="shared" si="89"/>
        <v>0</v>
      </c>
      <c r="F89" s="1073">
        <f t="shared" si="101"/>
        <v>0</v>
      </c>
      <c r="G89" s="705">
        <f t="shared" si="90"/>
        <v>4.8219928616717</v>
      </c>
      <c r="H89" s="1074">
        <f t="shared" si="91"/>
        <v>1.6073309538905668E-2</v>
      </c>
      <c r="I89" s="1075"/>
      <c r="J89" s="1711"/>
      <c r="K89" s="711">
        <f t="shared" si="92"/>
        <v>12.052695610810069</v>
      </c>
      <c r="L89" s="964">
        <f t="shared" si="102"/>
        <v>4.0175652036033564E-2</v>
      </c>
      <c r="M89" s="1633"/>
      <c r="N89" s="713">
        <f t="shared" si="93"/>
        <v>33.74529311480935</v>
      </c>
      <c r="O89" s="965">
        <f t="shared" si="103"/>
        <v>0.11248431038269782</v>
      </c>
      <c r="P89" s="1650"/>
      <c r="Q89" s="1523">
        <f t="shared" si="94"/>
        <v>12.460932963498976</v>
      </c>
      <c r="R89" s="1524">
        <f t="shared" si="104"/>
        <v>4.1536443211663256E-2</v>
      </c>
      <c r="S89" s="1529"/>
      <c r="T89" s="715">
        <f t="shared" si="57"/>
        <v>63.080914550790098</v>
      </c>
      <c r="U89" s="966">
        <f t="shared" si="58"/>
        <v>0.21026971516930029</v>
      </c>
      <c r="V89" s="1076"/>
      <c r="W89" s="1879"/>
      <c r="X89" s="923" t="str">
        <f t="shared" si="36"/>
        <v>Doc générale MEF</v>
      </c>
      <c r="Y89" s="1093">
        <f t="shared" si="105"/>
        <v>162.05501916261019</v>
      </c>
      <c r="Z89" s="1094">
        <f t="shared" si="106"/>
        <v>0.54018339720870068</v>
      </c>
      <c r="AA89" s="1612"/>
      <c r="AB89" s="970">
        <f t="shared" si="107"/>
        <v>59.637871465212051</v>
      </c>
      <c r="AC89" s="971">
        <f t="shared" si="108"/>
        <v>0.19879290488404017</v>
      </c>
      <c r="AD89" s="972"/>
      <c r="AE89" s="973">
        <f t="shared" si="109"/>
        <v>4.231155791664496</v>
      </c>
      <c r="AF89" s="1095">
        <f t="shared" si="110"/>
        <v>1.4103852638881654E-2</v>
      </c>
      <c r="AG89" s="1096"/>
      <c r="AH89" s="976">
        <f t="shared" si="111"/>
        <v>0</v>
      </c>
      <c r="AI89" s="1097">
        <f t="shared" si="112"/>
        <v>0</v>
      </c>
      <c r="AJ89" s="1098"/>
      <c r="AK89" s="979">
        <f t="shared" si="113"/>
        <v>0</v>
      </c>
      <c r="AL89" s="1099">
        <f t="shared" si="114"/>
        <v>0</v>
      </c>
      <c r="AM89" s="981"/>
      <c r="AN89" s="999"/>
      <c r="AO89" s="1000"/>
      <c r="AP89" s="1001"/>
      <c r="AQ89" s="985">
        <f t="shared" si="87"/>
        <v>225.92404641948673</v>
      </c>
      <c r="AR89" s="736"/>
      <c r="AS89" s="1914"/>
      <c r="AT89" s="801" t="str">
        <f t="shared" si="48"/>
        <v>Doc générale MEF</v>
      </c>
      <c r="AU89" s="737">
        <f t="shared" si="95"/>
        <v>4.0114183290671974</v>
      </c>
      <c r="AV89" s="1085">
        <f t="shared" si="96"/>
        <v>1.337139443022399E-2</v>
      </c>
      <c r="AW89" s="986">
        <f t="shared" si="115"/>
        <v>0</v>
      </c>
      <c r="AX89" s="1086">
        <f t="shared" si="116"/>
        <v>0</v>
      </c>
      <c r="AY89" s="1087"/>
      <c r="AZ89" s="1088"/>
      <c r="BA89" s="989">
        <f t="shared" si="97"/>
        <v>7.0026804308409334</v>
      </c>
      <c r="BB89" s="990">
        <f t="shared" si="117"/>
        <v>2.3342268102803113E-2</v>
      </c>
      <c r="BC89" s="1089"/>
      <c r="BD89" s="992">
        <f t="shared" si="98"/>
        <v>0</v>
      </c>
      <c r="BE89" s="1090">
        <f t="shared" si="118"/>
        <v>0</v>
      </c>
      <c r="BF89" s="1091"/>
      <c r="BG89" s="995">
        <f t="shared" si="99"/>
        <v>11.01409875990813</v>
      </c>
      <c r="BH89" s="996" t="e">
        <f>#REF!+BB89+BE89</f>
        <v>#REF!</v>
      </c>
      <c r="BI89" s="1125"/>
      <c r="BJ89" s="997">
        <v>300</v>
      </c>
      <c r="BK89" s="1748"/>
      <c r="BL89" s="1681" t="e">
        <f>BH89+#REF!+U89</f>
        <v>#REF!</v>
      </c>
      <c r="BM89" s="879" t="s">
        <v>76</v>
      </c>
      <c r="BN89" s="1173">
        <f t="shared" si="46"/>
        <v>300.01905973018495</v>
      </c>
      <c r="BO89" s="1591"/>
      <c r="BP89" s="1670">
        <f t="shared" si="53"/>
        <v>-1.9059730184949331E-2</v>
      </c>
      <c r="BQ89" s="24"/>
      <c r="BR89" s="702"/>
      <c r="BV89" s="1071" t="s">
        <v>76</v>
      </c>
      <c r="BX89" s="24">
        <f t="shared" si="51"/>
        <v>300.01905973018501</v>
      </c>
      <c r="BY89" s="24">
        <f t="shared" si="38"/>
        <v>-1.9059730185006174E-2</v>
      </c>
      <c r="BZ89" s="15">
        <f t="shared" si="42"/>
        <v>0</v>
      </c>
    </row>
    <row r="90" spans="1:81">
      <c r="A90" s="1071" t="str">
        <f t="shared" si="52"/>
        <v>Doc données INSEE</v>
      </c>
      <c r="B90" s="1101"/>
      <c r="C90" s="1102"/>
      <c r="D90" s="1103"/>
      <c r="E90" s="705"/>
      <c r="F90" s="1073">
        <v>1</v>
      </c>
      <c r="G90" s="705">
        <f t="shared" si="90"/>
        <v>0</v>
      </c>
      <c r="H90" s="1074">
        <f t="shared" si="91"/>
        <v>1</v>
      </c>
      <c r="I90" s="1075"/>
      <c r="J90" s="1711"/>
      <c r="K90" s="711">
        <f t="shared" si="92"/>
        <v>0</v>
      </c>
      <c r="L90" s="1183">
        <v>1</v>
      </c>
      <c r="M90" s="1633"/>
      <c r="N90" s="999"/>
      <c r="O90" s="1127"/>
      <c r="P90" s="1653"/>
      <c r="Q90" s="999"/>
      <c r="R90" s="1127"/>
      <c r="S90" s="1184"/>
      <c r="T90" s="715">
        <f t="shared" si="57"/>
        <v>0</v>
      </c>
      <c r="U90" s="1176">
        <f t="shared" si="58"/>
        <v>1</v>
      </c>
      <c r="V90" s="1076"/>
      <c r="W90" s="1879"/>
      <c r="X90" s="923" t="str">
        <f t="shared" ref="X90:X114" si="119">BM90</f>
        <v>Doc données INSEE</v>
      </c>
      <c r="Y90" s="999"/>
      <c r="Z90" s="1000"/>
      <c r="AA90" s="1616"/>
      <c r="AB90" s="1118"/>
      <c r="AC90" s="1123"/>
      <c r="AD90" s="1001"/>
      <c r="AE90" s="999"/>
      <c r="AF90" s="1000"/>
      <c r="AG90" s="1001"/>
      <c r="AH90" s="999"/>
      <c r="AI90" s="1000"/>
      <c r="AJ90" s="1001"/>
      <c r="AK90" s="999"/>
      <c r="AL90" s="1000"/>
      <c r="AM90" s="1001"/>
      <c r="AN90" s="999"/>
      <c r="AO90" s="1000"/>
      <c r="AP90" s="1001"/>
      <c r="AQ90" s="1185"/>
      <c r="AR90" s="1179"/>
      <c r="AS90" s="1914"/>
      <c r="AT90" s="801" t="str">
        <f t="shared" si="48"/>
        <v>Doc données INSEE</v>
      </c>
      <c r="AU90" s="1118"/>
      <c r="AV90" s="1119"/>
      <c r="AW90" s="1120"/>
      <c r="AX90" s="1000"/>
      <c r="AY90" s="1121"/>
      <c r="AZ90" s="1122"/>
      <c r="BA90" s="999"/>
      <c r="BB90" s="1123"/>
      <c r="BC90" s="1119"/>
      <c r="BD90" s="999"/>
      <c r="BE90" s="1000"/>
      <c r="BF90" s="1187"/>
      <c r="BG90" s="1188"/>
      <c r="BH90" s="1189"/>
      <c r="BI90" s="1124"/>
      <c r="BJ90" s="997">
        <v>0</v>
      </c>
      <c r="BK90" s="1748"/>
      <c r="BL90" s="1681" t="e">
        <f>BH90+#REF!+U90</f>
        <v>#REF!</v>
      </c>
      <c r="BM90" s="879" t="s">
        <v>77</v>
      </c>
      <c r="BN90" s="1173">
        <f t="shared" si="46"/>
        <v>0</v>
      </c>
      <c r="BO90" s="1591"/>
      <c r="BP90" s="1670">
        <f t="shared" si="53"/>
        <v>0</v>
      </c>
      <c r="BQ90" s="24">
        <f>BD90+BA90+AW90+AU90+AN90+AK90+AH90+AE90+AB90+Y90+Q90+N90+K90+G90</f>
        <v>0</v>
      </c>
      <c r="BR90" s="702">
        <f>BJ90-BQ90</f>
        <v>0</v>
      </c>
      <c r="BV90" s="1071" t="s">
        <v>77</v>
      </c>
      <c r="BX90" s="24">
        <f t="shared" si="51"/>
        <v>0</v>
      </c>
      <c r="BY90" s="24">
        <f t="shared" si="38"/>
        <v>0</v>
      </c>
      <c r="BZ90" s="15">
        <f t="shared" si="42"/>
        <v>0</v>
      </c>
    </row>
    <row r="91" spans="1:81">
      <c r="A91" s="1071" t="str">
        <f t="shared" si="52"/>
        <v>Formation</v>
      </c>
      <c r="B91" s="705">
        <f>BJ91*C91</f>
        <v>24.109964308358503</v>
      </c>
      <c r="C91" s="1072">
        <f>($D$6/$BL$6)</f>
        <v>1.6073309538905668E-2</v>
      </c>
      <c r="D91" s="1073"/>
      <c r="E91" s="705">
        <f>BJ91*F91</f>
        <v>0</v>
      </c>
      <c r="F91" s="1073">
        <f>$F$6/$BL$6</f>
        <v>0</v>
      </c>
      <c r="G91" s="705">
        <f t="shared" si="90"/>
        <v>24.109964308358503</v>
      </c>
      <c r="H91" s="1074">
        <f t="shared" si="91"/>
        <v>1.6073309538905668E-2</v>
      </c>
      <c r="I91" s="1075"/>
      <c r="J91" s="1711"/>
      <c r="K91" s="711">
        <f t="shared" si="92"/>
        <v>60.263478054050346</v>
      </c>
      <c r="L91" s="964">
        <f>$M$6/$BL$6</f>
        <v>4.0175652036033564E-2</v>
      </c>
      <c r="M91" s="1633"/>
      <c r="N91" s="713">
        <f>BJ91*O91</f>
        <v>168.72646557404673</v>
      </c>
      <c r="O91" s="965">
        <f>$P$6/$BL$6</f>
        <v>0.11248431038269782</v>
      </c>
      <c r="P91" s="1650"/>
      <c r="Q91" s="1523">
        <f>BJ91*R91</f>
        <v>62.304664817494881</v>
      </c>
      <c r="R91" s="1524">
        <f>($S$6/$BL$6)</f>
        <v>4.1536443211663256E-2</v>
      </c>
      <c r="S91" s="1529"/>
      <c r="T91" s="715">
        <f t="shared" si="57"/>
        <v>315.40457275395045</v>
      </c>
      <c r="U91" s="966">
        <f t="shared" si="58"/>
        <v>0.21026971516930029</v>
      </c>
      <c r="V91" s="1076"/>
      <c r="W91" s="1879"/>
      <c r="X91" s="923" t="str">
        <f t="shared" si="119"/>
        <v>Formation</v>
      </c>
      <c r="Y91" s="1093">
        <f>BJ91*Z91</f>
        <v>810.27509581305105</v>
      </c>
      <c r="Z91" s="1094">
        <f>$AA$6/($BL$6)</f>
        <v>0.54018339720870068</v>
      </c>
      <c r="AA91" s="1612"/>
      <c r="AB91" s="970">
        <f>BJ91*AC91</f>
        <v>298.18935732606025</v>
      </c>
      <c r="AC91" s="971">
        <f>$AD$6/($BL$6)</f>
        <v>0.19879290488404017</v>
      </c>
      <c r="AD91" s="972"/>
      <c r="AE91" s="973">
        <f>BJ91*AF91</f>
        <v>21.155778958322482</v>
      </c>
      <c r="AF91" s="1095">
        <f>$AG$6/($BL$6)</f>
        <v>1.4103852638881654E-2</v>
      </c>
      <c r="AG91" s="1096"/>
      <c r="AH91" s="976">
        <f>BJ91*AI91</f>
        <v>0</v>
      </c>
      <c r="AI91" s="1097">
        <f>$AJ$6/($BL$6)</f>
        <v>0</v>
      </c>
      <c r="AJ91" s="1098"/>
      <c r="AK91" s="979">
        <f>BJ91*AL91</f>
        <v>0</v>
      </c>
      <c r="AL91" s="1099">
        <f>$AM$6/($BL$6)</f>
        <v>0</v>
      </c>
      <c r="AM91" s="981"/>
      <c r="AN91" s="999"/>
      <c r="AO91" s="1000"/>
      <c r="AP91" s="1001"/>
      <c r="AQ91" s="985">
        <f>Y91+AB91+AE91+AH91+AK91</f>
        <v>1129.6202320974339</v>
      </c>
      <c r="AR91" s="736"/>
      <c r="AS91" s="1914"/>
      <c r="AT91" s="1190" t="str">
        <f t="shared" si="48"/>
        <v>Formation</v>
      </c>
      <c r="AU91" s="737">
        <f>BJ91*AV91</f>
        <v>20.057091645335984</v>
      </c>
      <c r="AV91" s="1085">
        <f>$AV$6/$BL$6</f>
        <v>1.337139443022399E-2</v>
      </c>
      <c r="AW91" s="986">
        <f>BJ91*AX91</f>
        <v>0</v>
      </c>
      <c r="AX91" s="1086">
        <f>$AY$6/($BL$6)</f>
        <v>0</v>
      </c>
      <c r="AY91" s="1087"/>
      <c r="AZ91" s="1088"/>
      <c r="BA91" s="989">
        <f>BJ91*BB91</f>
        <v>35.01340215420467</v>
      </c>
      <c r="BB91" s="990">
        <f>$BC$6/($BL$6)</f>
        <v>2.3342268102803113E-2</v>
      </c>
      <c r="BC91" s="1089"/>
      <c r="BD91" s="992">
        <f>BJ91*BE91</f>
        <v>0</v>
      </c>
      <c r="BE91" s="1090">
        <f>$BF$6/($BL$6)</f>
        <v>0</v>
      </c>
      <c r="BF91" s="1091"/>
      <c r="BG91" s="995">
        <f>AU91+BA91+BD91</f>
        <v>55.070493799540657</v>
      </c>
      <c r="BH91" s="996" t="e">
        <f>#REF!+BB91+BE91</f>
        <v>#REF!</v>
      </c>
      <c r="BI91" s="1125"/>
      <c r="BJ91" s="997">
        <v>1500</v>
      </c>
      <c r="BK91" s="1748"/>
      <c r="BL91" s="1681" t="e">
        <f>BH91+#REF!+U91</f>
        <v>#REF!</v>
      </c>
      <c r="BM91" s="879" t="s">
        <v>78</v>
      </c>
      <c r="BN91" s="1173">
        <f t="shared" si="46"/>
        <v>1500.0952986509251</v>
      </c>
      <c r="BO91" s="1591"/>
      <c r="BP91" s="1670">
        <f t="shared" si="53"/>
        <v>-9.5298650925087713E-2</v>
      </c>
      <c r="BV91" s="1071" t="s">
        <v>78</v>
      </c>
      <c r="BX91" s="24">
        <f t="shared" si="51"/>
        <v>1500.0952986509249</v>
      </c>
      <c r="BY91" s="24">
        <f t="shared" si="38"/>
        <v>-9.529865092486034E-2</v>
      </c>
      <c r="BZ91" s="15">
        <f t="shared" si="42"/>
        <v>0</v>
      </c>
    </row>
    <row r="92" spans="1:81" ht="27.75" thickBot="1">
      <c r="A92" s="1071" t="str">
        <f t="shared" si="52"/>
        <v>Formations GJ</v>
      </c>
      <c r="B92" s="1101"/>
      <c r="C92" s="1102"/>
      <c r="D92" s="1103"/>
      <c r="E92" s="1101"/>
      <c r="F92" s="1103"/>
      <c r="G92" s="1101"/>
      <c r="H92" s="1108"/>
      <c r="I92" s="1109"/>
      <c r="J92" s="1713"/>
      <c r="K92" s="999"/>
      <c r="L92" s="1000"/>
      <c r="M92" s="1638"/>
      <c r="N92" s="1126"/>
      <c r="O92" s="1127"/>
      <c r="P92" s="1653"/>
      <c r="Q92" s="999"/>
      <c r="R92" s="1000"/>
      <c r="S92" s="1128"/>
      <c r="T92" s="1129"/>
      <c r="U92" s="1130"/>
      <c r="V92" s="1112"/>
      <c r="W92" s="1879"/>
      <c r="X92" s="923" t="str">
        <f t="shared" si="119"/>
        <v>Formations GJ</v>
      </c>
      <c r="Y92" s="999"/>
      <c r="Z92" s="1000"/>
      <c r="AA92" s="1616"/>
      <c r="AB92" s="1191">
        <f>BJ92*AC92</f>
        <v>11525.76</v>
      </c>
      <c r="AC92" s="1192">
        <v>1</v>
      </c>
      <c r="AD92" s="1193"/>
      <c r="AE92" s="999"/>
      <c r="AF92" s="1000"/>
      <c r="AG92" s="1001"/>
      <c r="AH92" s="999"/>
      <c r="AI92" s="1000"/>
      <c r="AJ92" s="1001"/>
      <c r="AK92" s="1194"/>
      <c r="AL92" s="1195"/>
      <c r="AM92" s="1196"/>
      <c r="AN92" s="1197"/>
      <c r="AO92" s="1198"/>
      <c r="AP92" s="1199"/>
      <c r="AQ92" s="985">
        <f>Y92+AB92+AE92+AH92+AK92</f>
        <v>11525.76</v>
      </c>
      <c r="AR92" s="1200"/>
      <c r="AS92" s="1914"/>
      <c r="AT92" s="1201"/>
      <c r="AU92" s="1136"/>
      <c r="AV92" s="1137"/>
      <c r="AW92" s="1120"/>
      <c r="AX92" s="1000"/>
      <c r="AY92" s="1121"/>
      <c r="AZ92" s="1138"/>
      <c r="BA92" s="1131"/>
      <c r="BB92" s="1139"/>
      <c r="BC92" s="1137"/>
      <c r="BD92" s="1131"/>
      <c r="BE92" s="1132"/>
      <c r="BF92" s="1137"/>
      <c r="BG92" s="1140"/>
      <c r="BH92" s="1141"/>
      <c r="BI92" s="1142"/>
      <c r="BJ92" s="1202">
        <f>(96*34)+(96*86.06)</f>
        <v>11525.76</v>
      </c>
      <c r="BK92" s="1753"/>
      <c r="BL92" s="1681" t="e">
        <f>BH92+#REF!+U92</f>
        <v>#REF!</v>
      </c>
      <c r="BM92" s="879" t="s">
        <v>79</v>
      </c>
      <c r="BN92" s="1173">
        <f t="shared" si="46"/>
        <v>11525.76</v>
      </c>
      <c r="BO92" s="1591"/>
      <c r="BP92" s="1670">
        <f t="shared" si="53"/>
        <v>0</v>
      </c>
      <c r="BV92" s="1071" t="s">
        <v>79</v>
      </c>
      <c r="BX92" s="24">
        <f t="shared" si="51"/>
        <v>11525.76</v>
      </c>
      <c r="BY92" s="24">
        <f t="shared" si="38"/>
        <v>0</v>
      </c>
      <c r="BZ92" s="15">
        <f t="shared" si="42"/>
        <v>0</v>
      </c>
    </row>
    <row r="93" spans="1:81" ht="28.5" thickTop="1" thickBot="1">
      <c r="A93" s="623" t="str">
        <f t="shared" ref="A93:A130" si="120">BM93</f>
        <v>Autres services extérieurs</v>
      </c>
      <c r="B93" s="1203">
        <f>SUM(B94:B123)</f>
        <v>2629.4723948540145</v>
      </c>
      <c r="C93" s="1204"/>
      <c r="D93" s="1205"/>
      <c r="E93" s="1203">
        <f>SUM(E94:E123)</f>
        <v>0</v>
      </c>
      <c r="F93" s="1206"/>
      <c r="G93" s="1203">
        <f>E93+B93</f>
        <v>2629.4723948540145</v>
      </c>
      <c r="H93" s="1207"/>
      <c r="I93" s="1208" t="s">
        <v>41</v>
      </c>
      <c r="J93" s="1715"/>
      <c r="K93" s="1047">
        <f>SUM(K94:K123)</f>
        <v>5253.7767896196046</v>
      </c>
      <c r="L93" s="1050"/>
      <c r="M93" s="1636" t="s">
        <v>41</v>
      </c>
      <c r="N93" s="1047">
        <f>SUM(N94:N123)</f>
        <v>9645.5035450104642</v>
      </c>
      <c r="O93" s="1050"/>
      <c r="P93" s="1636" t="s">
        <v>41</v>
      </c>
      <c r="Q93" s="1047">
        <f>SUM(Q94:Q123)</f>
        <v>3620.4646887528447</v>
      </c>
      <c r="R93" s="1050"/>
      <c r="S93" s="901" t="s">
        <v>41</v>
      </c>
      <c r="T93" s="1051">
        <f>SUM(T94:T123)</f>
        <v>21149.217418236934</v>
      </c>
      <c r="U93" s="1209"/>
      <c r="V93" s="1053">
        <f>SUM(V94:V123)</f>
        <v>0</v>
      </c>
      <c r="W93" s="1879"/>
      <c r="X93" s="623" t="str">
        <f t="shared" si="119"/>
        <v>Autres services extérieurs</v>
      </c>
      <c r="Y93" s="1066">
        <f>SUM(Y94:Y123)</f>
        <v>30333.213086455875</v>
      </c>
      <c r="Z93" s="1067"/>
      <c r="AA93" s="1618"/>
      <c r="AB93" s="1047">
        <f>SUM(AB94:AB123)</f>
        <v>9424.4471184367994</v>
      </c>
      <c r="AC93" s="1067"/>
      <c r="AD93" s="1049"/>
      <c r="AE93" s="1066">
        <f>SUM(AE94:AE123)</f>
        <v>668.6406310069309</v>
      </c>
      <c r="AF93" s="1067"/>
      <c r="AG93" s="1049"/>
      <c r="AH93" s="1066">
        <f>SUM(AH94:AH123)</f>
        <v>0</v>
      </c>
      <c r="AI93" s="1067"/>
      <c r="AJ93" s="1049"/>
      <c r="AK93" s="1066">
        <f>SUM(AK94:AK123)</f>
        <v>0</v>
      </c>
      <c r="AL93" s="1067"/>
      <c r="AM93" s="1049"/>
      <c r="AN93" s="1066">
        <f>SUM(AN94:AN123)</f>
        <v>329.98232257731166</v>
      </c>
      <c r="AO93" s="1067"/>
      <c r="AP93" s="1049"/>
      <c r="AQ93" s="1066">
        <f>SUM(AQ94:AQ123)</f>
        <v>40426.300835899594</v>
      </c>
      <c r="AR93" s="1210"/>
      <c r="AS93" s="1914"/>
      <c r="AT93" s="644" t="str">
        <f t="shared" si="48"/>
        <v>Autres services extérieurs</v>
      </c>
      <c r="AU93" s="1211" t="e">
        <f>SUM(AU94:AU123)</f>
        <v>#REF!</v>
      </c>
      <c r="AV93" s="1212" t="s">
        <v>46</v>
      </c>
      <c r="AW93" s="1213">
        <f>SUM(AW94:AW123)</f>
        <v>0</v>
      </c>
      <c r="AX93" s="1214"/>
      <c r="AY93" s="1215" t="s">
        <v>46</v>
      </c>
      <c r="AZ93" s="1216"/>
      <c r="BA93" s="1047">
        <f>SUM(BA94:BA123)</f>
        <v>6141.2664597443409</v>
      </c>
      <c r="BB93" s="1217"/>
      <c r="BC93" s="1216" t="s">
        <v>46</v>
      </c>
      <c r="BD93" s="1047">
        <f>SUM(BD94:BD123)</f>
        <v>0</v>
      </c>
      <c r="BE93" s="1217"/>
      <c r="BF93" s="1216" t="s">
        <v>46</v>
      </c>
      <c r="BG93" s="1066" t="e">
        <f>SUM(BG94:BG123)</f>
        <v>#REF!</v>
      </c>
      <c r="BH93" s="1147"/>
      <c r="BI93" s="629"/>
      <c r="BJ93" s="1218">
        <f>SUM(BJ94:BJ123)</f>
        <v>68367.839999999997</v>
      </c>
      <c r="BK93" s="1754"/>
      <c r="BL93" s="1689"/>
      <c r="BM93" s="908" t="s">
        <v>80</v>
      </c>
      <c r="BN93" s="1070" t="e">
        <f t="shared" si="46"/>
        <v>#REF!</v>
      </c>
      <c r="BO93" s="1589"/>
      <c r="BP93" s="1671"/>
      <c r="BQ93" s="24" t="e">
        <f>BD93+BA93+AW93+AU93+AN93+AK93+AH93+AE93+AB93+Y93+Q93+N93+K93+G93</f>
        <v>#REF!</v>
      </c>
      <c r="BR93" s="702" t="e">
        <f>BJ93-BQ93</f>
        <v>#REF!</v>
      </c>
      <c r="BV93" s="910" t="s">
        <v>80</v>
      </c>
      <c r="BX93" s="911" t="e">
        <f t="shared" si="51"/>
        <v>#REF!</v>
      </c>
      <c r="BY93" s="912" t="e">
        <f t="shared" ref="BY93:BY125" si="121">BJ93-BX93</f>
        <v>#REF!</v>
      </c>
      <c r="BZ93" s="913" t="e">
        <f t="shared" si="42"/>
        <v>#REF!</v>
      </c>
      <c r="CA93" s="914"/>
    </row>
    <row r="94" spans="1:81" s="1243" customFormat="1" ht="22.5" customHeight="1" thickTop="1">
      <c r="A94" s="1148" t="str">
        <f t="shared" si="120"/>
        <v>Personnel mis à dispo</v>
      </c>
      <c r="B94" s="657">
        <f>BJ94*C94</f>
        <v>11.090583581844911</v>
      </c>
      <c r="C94" s="1219">
        <f>($D$6/$BL6)</f>
        <v>1.6073309538905668E-2</v>
      </c>
      <c r="D94" s="1220"/>
      <c r="E94" s="657">
        <f>BJ94*F94</f>
        <v>0</v>
      </c>
      <c r="F94" s="1220">
        <f>$F$6/$BL6</f>
        <v>0</v>
      </c>
      <c r="G94" s="657">
        <f>E94+B94</f>
        <v>11.090583581844911</v>
      </c>
      <c r="H94" s="1221">
        <f>F94+C94</f>
        <v>1.6073309538905668E-2</v>
      </c>
      <c r="I94" s="1222"/>
      <c r="J94" s="1716"/>
      <c r="K94" s="1223">
        <f>BJ94*L94</f>
        <v>27.721199904863159</v>
      </c>
      <c r="L94" s="1224">
        <f>$M$6/$BL6</f>
        <v>4.0175652036033564E-2</v>
      </c>
      <c r="M94" s="1640"/>
      <c r="N94" s="1225">
        <f>BJ94*O94</f>
        <v>77.614174164061495</v>
      </c>
      <c r="O94" s="1226">
        <f>$P$6/$BL6</f>
        <v>0.11248431038269782</v>
      </c>
      <c r="P94" s="1654"/>
      <c r="Q94" s="1530">
        <f>BJ94*R94</f>
        <v>28.660145816047645</v>
      </c>
      <c r="R94" s="1531">
        <f>($S$6/$BL6)</f>
        <v>4.1536443211663256E-2</v>
      </c>
      <c r="S94" s="1532"/>
      <c r="T94" s="666">
        <f t="shared" ref="T94" si="122">B94+K94+N94+Q94</f>
        <v>145.08610346681721</v>
      </c>
      <c r="U94" s="921">
        <f>C94+L94+O94+R94</f>
        <v>0.21026971516930029</v>
      </c>
      <c r="V94" s="668"/>
      <c r="W94" s="1879"/>
      <c r="X94" s="923" t="str">
        <f t="shared" si="119"/>
        <v>Personnel mis à dispo</v>
      </c>
      <c r="Y94" s="924">
        <f>BJ94*Z94</f>
        <v>372.72654407400347</v>
      </c>
      <c r="Z94" s="925">
        <f>$AA$6/(BL6)</f>
        <v>0.54018339720870068</v>
      </c>
      <c r="AA94" s="1619"/>
      <c r="AB94" s="926">
        <f>BJ94*AC94</f>
        <v>137.16710436998773</v>
      </c>
      <c r="AC94" s="927">
        <f>$AD$6/(BL6)</f>
        <v>0.19879290488404017</v>
      </c>
      <c r="AD94" s="928"/>
      <c r="AE94" s="929">
        <f>BJ94*AF94</f>
        <v>9.7316583208283411</v>
      </c>
      <c r="AF94" s="930">
        <f>$AG$6/(BL6)</f>
        <v>1.4103852638881654E-2</v>
      </c>
      <c r="AG94" s="1080"/>
      <c r="AH94" s="932">
        <f>BJ94*AI94</f>
        <v>0</v>
      </c>
      <c r="AI94" s="933">
        <f>$AJ$6/($BL6)</f>
        <v>0</v>
      </c>
      <c r="AJ94" s="1082"/>
      <c r="AK94" s="1227">
        <f>BJ94*AL94</f>
        <v>0</v>
      </c>
      <c r="AL94" s="1228">
        <f>$AM$6/(BL6)</f>
        <v>0</v>
      </c>
      <c r="AM94" s="1229"/>
      <c r="AN94" s="1185"/>
      <c r="AO94" s="1186"/>
      <c r="AP94" s="1179"/>
      <c r="AQ94" s="941">
        <f>Y94+AB94+AE94+AH94+AK94</f>
        <v>519.62530676481958</v>
      </c>
      <c r="AR94" s="687"/>
      <c r="AS94" s="1914"/>
      <c r="AT94" s="942" t="str">
        <f t="shared" si="48"/>
        <v>Personnel mis à dispo</v>
      </c>
      <c r="AU94" s="1230">
        <f>BJ94*AV94</f>
        <v>9.2262621568545526</v>
      </c>
      <c r="AV94" s="1231">
        <f>$AV$6/$BL$6</f>
        <v>1.337139443022399E-2</v>
      </c>
      <c r="AW94" s="1232">
        <f>BJ94*AX94</f>
        <v>0</v>
      </c>
      <c r="AX94" s="1233">
        <f>$AY$6/BL6</f>
        <v>0</v>
      </c>
      <c r="AY94" s="1234"/>
      <c r="AZ94" s="1235"/>
      <c r="BA94" s="1236">
        <f>BJ94*BB94</f>
        <v>16.106164990934147</v>
      </c>
      <c r="BB94" s="1237">
        <f>$BC$6/($BL$6)</f>
        <v>2.3342268102803113E-2</v>
      </c>
      <c r="BC94" s="1238"/>
      <c r="BD94" s="1239">
        <f>BJ94*BE94</f>
        <v>0</v>
      </c>
      <c r="BE94" s="1240">
        <f>$BF$6/(BL6)</f>
        <v>0</v>
      </c>
      <c r="BF94" s="1241"/>
      <c r="BG94" s="954">
        <f>AU94+BA94+BD94</f>
        <v>25.3324271477887</v>
      </c>
      <c r="BH94" s="1242" t="e">
        <f>#REF!+BB94+BE94</f>
        <v>#REF!</v>
      </c>
      <c r="BI94" s="699"/>
      <c r="BJ94" s="956">
        <v>690</v>
      </c>
      <c r="BK94" s="1747"/>
      <c r="BL94" s="1690" t="e">
        <f>BH94+#REF!+U94</f>
        <v>#REF!</v>
      </c>
      <c r="BM94" s="879" t="s">
        <v>81</v>
      </c>
      <c r="BN94" s="1168">
        <f t="shared" si="46"/>
        <v>690.04383737942555</v>
      </c>
      <c r="BO94" s="1591"/>
      <c r="BP94" s="1672">
        <f t="shared" ref="BP94:BP123" si="123">BJ94-BN94</f>
        <v>-4.3837379425553991E-2</v>
      </c>
      <c r="BQ94" s="24"/>
      <c r="BR94" s="702"/>
      <c r="BS94" s="15"/>
      <c r="BT94" s="15"/>
      <c r="BU94" s="15"/>
      <c r="BV94" s="1148" t="s">
        <v>81</v>
      </c>
      <c r="BX94" s="24">
        <f t="shared" si="51"/>
        <v>690.04383737942544</v>
      </c>
      <c r="BY94" s="24">
        <f t="shared" si="121"/>
        <v>-4.3837379425440304E-2</v>
      </c>
      <c r="BZ94" s="1243">
        <f t="shared" si="42"/>
        <v>0</v>
      </c>
    </row>
    <row r="95" spans="1:81" s="1243" customFormat="1" ht="22.5" customHeight="1">
      <c r="A95" s="1244" t="str">
        <f t="shared" si="120"/>
        <v>Consultant ML</v>
      </c>
      <c r="B95" s="1101"/>
      <c r="C95" s="1102"/>
      <c r="D95" s="1103"/>
      <c r="E95" s="1245"/>
      <c r="F95" s="1246"/>
      <c r="G95" s="999"/>
      <c r="H95" s="1000"/>
      <c r="I95" s="1001"/>
      <c r="J95" s="1717"/>
      <c r="K95" s="999"/>
      <c r="L95" s="1000"/>
      <c r="M95" s="1638"/>
      <c r="N95" s="1126"/>
      <c r="O95" s="1127"/>
      <c r="P95" s="1653"/>
      <c r="Q95" s="999"/>
      <c r="R95" s="1247"/>
      <c r="S95" s="1128"/>
      <c r="T95" s="1129"/>
      <c r="U95" s="1130"/>
      <c r="V95" s="1248"/>
      <c r="W95" s="1879"/>
      <c r="X95" s="923" t="str">
        <f t="shared" si="119"/>
        <v>Consultant ML</v>
      </c>
      <c r="Y95" s="1249">
        <f>BJ95*Z95</f>
        <v>3524</v>
      </c>
      <c r="Z95" s="1250">
        <v>1</v>
      </c>
      <c r="AA95" s="1620"/>
      <c r="AB95" s="1118"/>
      <c r="AC95" s="1251"/>
      <c r="AD95" s="1001"/>
      <c r="AE95" s="1252"/>
      <c r="AF95" s="1253"/>
      <c r="AG95" s="1116"/>
      <c r="AH95" s="1117"/>
      <c r="AI95" s="1115"/>
      <c r="AJ95" s="1116"/>
      <c r="AK95" s="1117"/>
      <c r="AL95" s="1115"/>
      <c r="AM95" s="1116"/>
      <c r="AN95" s="1185"/>
      <c r="AO95" s="1186"/>
      <c r="AP95" s="1179"/>
      <c r="AQ95" s="1254">
        <f>Y95+AB95+AE95+AH95+AK95</f>
        <v>3524</v>
      </c>
      <c r="AR95" s="1255"/>
      <c r="AS95" s="1914"/>
      <c r="AT95" s="801" t="str">
        <f t="shared" si="48"/>
        <v>Consultant ML</v>
      </c>
      <c r="AU95" s="1256"/>
      <c r="AV95" s="1257"/>
      <c r="AW95" s="1258"/>
      <c r="AX95" s="1127"/>
      <c r="AY95" s="1259"/>
      <c r="AZ95" s="1260"/>
      <c r="BA95" s="1261"/>
      <c r="BB95" s="1127"/>
      <c r="BC95" s="1257"/>
      <c r="BD95" s="1126"/>
      <c r="BE95" s="1127"/>
      <c r="BF95" s="1257"/>
      <c r="BG95" s="1126"/>
      <c r="BH95" s="1127"/>
      <c r="BI95" s="1262"/>
      <c r="BJ95" s="997">
        <v>3524</v>
      </c>
      <c r="BK95" s="1748"/>
      <c r="BL95" s="1681" t="e">
        <f>BH95+#REF!+U95</f>
        <v>#REF!</v>
      </c>
      <c r="BM95" s="879" t="s">
        <v>82</v>
      </c>
      <c r="BN95" s="1173">
        <f t="shared" si="46"/>
        <v>3524</v>
      </c>
      <c r="BO95" s="1594"/>
      <c r="BP95" s="1670">
        <f t="shared" si="123"/>
        <v>0</v>
      </c>
      <c r="BQ95" s="24">
        <f>BD95+BA95+AW95+AU95+AN95+AK95+AH95+AE95+AB95+Y95+Q95+N95+K95+G95</f>
        <v>3524</v>
      </c>
      <c r="BR95" s="702">
        <f>BJ95-BQ95</f>
        <v>0</v>
      </c>
      <c r="BV95" s="1244" t="s">
        <v>82</v>
      </c>
      <c r="BX95" s="24">
        <f t="shared" si="51"/>
        <v>3524</v>
      </c>
      <c r="BY95" s="24">
        <f t="shared" si="121"/>
        <v>0</v>
      </c>
      <c r="BZ95" s="1243">
        <f t="shared" si="42"/>
        <v>0</v>
      </c>
      <c r="CA95" s="1263"/>
    </row>
    <row r="96" spans="1:81" s="1243" customFormat="1" ht="22.5" customHeight="1">
      <c r="A96" s="1244" t="str">
        <f t="shared" si="120"/>
        <v>Consultant MDE</v>
      </c>
      <c r="B96" s="1101"/>
      <c r="C96" s="1102"/>
      <c r="D96" s="1103"/>
      <c r="E96" s="1245"/>
      <c r="F96" s="1246"/>
      <c r="G96" s="999"/>
      <c r="H96" s="1000"/>
      <c r="I96" s="1001"/>
      <c r="J96" s="1717"/>
      <c r="K96" s="999"/>
      <c r="L96" s="1000"/>
      <c r="M96" s="1638"/>
      <c r="N96" s="713">
        <f>BJ96*O96-1089.32451455475</f>
        <v>1410.6754854452499</v>
      </c>
      <c r="O96" s="1175">
        <v>1</v>
      </c>
      <c r="P96" s="1650"/>
      <c r="Q96" s="1523">
        <v>1089.3245145547501</v>
      </c>
      <c r="R96" s="1524">
        <v>1</v>
      </c>
      <c r="S96" s="1529"/>
      <c r="T96" s="715">
        <f t="shared" ref="T96:T98" si="124">B96+K96+N96+Q96</f>
        <v>2500</v>
      </c>
      <c r="U96" s="1176">
        <v>1</v>
      </c>
      <c r="V96" s="1076"/>
      <c r="W96" s="1879"/>
      <c r="X96" s="923" t="str">
        <f t="shared" si="119"/>
        <v>Consultant MDE</v>
      </c>
      <c r="Y96" s="1117"/>
      <c r="Z96" s="1115"/>
      <c r="AA96" s="1621"/>
      <c r="AB96" s="1114"/>
      <c r="AC96" s="1264"/>
      <c r="AD96" s="1116"/>
      <c r="AE96" s="1252"/>
      <c r="AF96" s="1253"/>
      <c r="AG96" s="1116"/>
      <c r="AH96" s="1117"/>
      <c r="AI96" s="1115"/>
      <c r="AJ96" s="1116"/>
      <c r="AK96" s="1117"/>
      <c r="AL96" s="1115"/>
      <c r="AM96" s="1116"/>
      <c r="AN96" s="1265"/>
      <c r="AO96" s="1171"/>
      <c r="AP96" s="1001"/>
      <c r="AQ96" s="1185"/>
      <c r="AR96" s="1266"/>
      <c r="AS96" s="1914"/>
      <c r="AT96" s="801" t="str">
        <f t="shared" si="48"/>
        <v>Consultant MDE</v>
      </c>
      <c r="AU96" s="1256"/>
      <c r="AV96" s="1257"/>
      <c r="AW96" s="1258"/>
      <c r="AX96" s="1127"/>
      <c r="AY96" s="1259"/>
      <c r="AZ96" s="1260"/>
      <c r="BA96" s="1261"/>
      <c r="BB96" s="1127"/>
      <c r="BC96" s="1257"/>
      <c r="BD96" s="1126"/>
      <c r="BE96" s="1127"/>
      <c r="BF96" s="1257"/>
      <c r="BG96" s="1126"/>
      <c r="BH96" s="1127"/>
      <c r="BI96" s="1262"/>
      <c r="BJ96" s="997">
        <f>2500</f>
        <v>2500</v>
      </c>
      <c r="BK96" s="1748"/>
      <c r="BL96" s="1681" t="e">
        <f>BH96+#REF!+U96</f>
        <v>#REF!</v>
      </c>
      <c r="BM96" s="879" t="s">
        <v>83</v>
      </c>
      <c r="BN96" s="1173">
        <f t="shared" si="46"/>
        <v>2500</v>
      </c>
      <c r="BO96" s="1594"/>
      <c r="BP96" s="1670">
        <f t="shared" si="123"/>
        <v>0</v>
      </c>
      <c r="BQ96" s="24">
        <f>BD96+BA96+AW96+AU96+AN96+AK96+AH96+AE96+AB96+Y96+Q96+N96+K96+G96</f>
        <v>2500</v>
      </c>
      <c r="BR96" s="702">
        <f>BJ96-BQ96</f>
        <v>0</v>
      </c>
      <c r="BV96" s="1244" t="s">
        <v>83</v>
      </c>
      <c r="BX96" s="24">
        <f t="shared" si="51"/>
        <v>2500</v>
      </c>
      <c r="BY96" s="24">
        <f t="shared" si="121"/>
        <v>0</v>
      </c>
      <c r="BZ96" s="1243">
        <f t="shared" si="42"/>
        <v>0</v>
      </c>
      <c r="CC96" s="1243">
        <v>8106.57093258246</v>
      </c>
    </row>
    <row r="97" spans="1:78" s="1243" customFormat="1" ht="22.5" customHeight="1">
      <c r="A97" s="1244" t="str">
        <f t="shared" si="120"/>
        <v>Consultant MDE - GPEC-T/revitalisation/contrat ville</v>
      </c>
      <c r="B97" s="1101"/>
      <c r="C97" s="1102"/>
      <c r="D97" s="1103"/>
      <c r="E97" s="1245"/>
      <c r="F97" s="1246"/>
      <c r="G97" s="999"/>
      <c r="H97" s="1000"/>
      <c r="I97" s="1001"/>
      <c r="J97" s="1717"/>
      <c r="K97" s="711">
        <f>(BJ97-N97)*L97</f>
        <v>2655.5602590223502</v>
      </c>
      <c r="L97" s="964">
        <v>1</v>
      </c>
      <c r="M97" s="1633"/>
      <c r="N97" s="713">
        <v>1230.2797409776499</v>
      </c>
      <c r="O97" s="1175">
        <v>1</v>
      </c>
      <c r="P97" s="1650"/>
      <c r="Q97" s="999"/>
      <c r="R97" s="1247"/>
      <c r="S97" s="1128"/>
      <c r="T97" s="715">
        <f t="shared" si="124"/>
        <v>3885.84</v>
      </c>
      <c r="U97" s="1176">
        <v>1</v>
      </c>
      <c r="V97" s="1076"/>
      <c r="W97" s="1879"/>
      <c r="X97" s="923" t="str">
        <f t="shared" si="119"/>
        <v>Consultant MDE - GPEC-T/revitalisation/contrat ville</v>
      </c>
      <c r="Y97" s="1117"/>
      <c r="Z97" s="1115"/>
      <c r="AA97" s="1621"/>
      <c r="AB97" s="1114"/>
      <c r="AC97" s="1264"/>
      <c r="AD97" s="1116"/>
      <c r="AE97" s="1252"/>
      <c r="AF97" s="1253"/>
      <c r="AG97" s="1116"/>
      <c r="AH97" s="1117"/>
      <c r="AI97" s="1115"/>
      <c r="AJ97" s="1116"/>
      <c r="AK97" s="1117"/>
      <c r="AL97" s="1115"/>
      <c r="AM97" s="1116"/>
      <c r="AN97" s="1265"/>
      <c r="AO97" s="1171"/>
      <c r="AP97" s="1001"/>
      <c r="AQ97" s="1185"/>
      <c r="AR97" s="1266"/>
      <c r="AS97" s="1914"/>
      <c r="AT97" s="801"/>
      <c r="AU97" s="1256"/>
      <c r="AV97" s="1257"/>
      <c r="AW97" s="1258"/>
      <c r="AX97" s="1127"/>
      <c r="AY97" s="1259"/>
      <c r="AZ97" s="1260"/>
      <c r="BA97" s="1261"/>
      <c r="BB97" s="1127"/>
      <c r="BC97" s="1257"/>
      <c r="BD97" s="1126"/>
      <c r="BE97" s="1127"/>
      <c r="BF97" s="1257"/>
      <c r="BG97" s="1126"/>
      <c r="BH97" s="1127"/>
      <c r="BI97" s="1262"/>
      <c r="BJ97" s="997">
        <v>3885.84</v>
      </c>
      <c r="BK97" s="1748"/>
      <c r="BL97" s="1681" t="e">
        <f>BH97+#REF!+U97</f>
        <v>#REF!</v>
      </c>
      <c r="BM97" s="879" t="s">
        <v>84</v>
      </c>
      <c r="BN97" s="1173">
        <f t="shared" si="46"/>
        <v>3885.84</v>
      </c>
      <c r="BO97" s="1594"/>
      <c r="BP97" s="1670">
        <f t="shared" si="123"/>
        <v>0</v>
      </c>
      <c r="BQ97" s="24"/>
      <c r="BR97" s="702"/>
      <c r="BV97" s="1244"/>
      <c r="BX97" s="24">
        <f t="shared" si="51"/>
        <v>3885.84</v>
      </c>
      <c r="BY97" s="24">
        <f t="shared" si="121"/>
        <v>0</v>
      </c>
      <c r="BZ97" s="1243">
        <f t="shared" si="42"/>
        <v>0</v>
      </c>
    </row>
    <row r="98" spans="1:78" ht="22.5" customHeight="1">
      <c r="A98" s="1244" t="str">
        <f t="shared" si="120"/>
        <v>Consultant gpe DRH</v>
      </c>
      <c r="B98" s="705">
        <f>BJ98*C98</f>
        <v>1500</v>
      </c>
      <c r="C98" s="1072">
        <v>1</v>
      </c>
      <c r="D98" s="1073"/>
      <c r="E98" s="1267"/>
      <c r="F98" s="1246"/>
      <c r="G98" s="999"/>
      <c r="H98" s="1000"/>
      <c r="I98" s="1001"/>
      <c r="J98" s="1717"/>
      <c r="K98" s="999"/>
      <c r="L98" s="1000"/>
      <c r="M98" s="1638"/>
      <c r="N98" s="1126"/>
      <c r="O98" s="1127"/>
      <c r="P98" s="1653"/>
      <c r="Q98" s="999"/>
      <c r="R98" s="1247"/>
      <c r="S98" s="1128"/>
      <c r="T98" s="715">
        <f t="shared" si="124"/>
        <v>1500</v>
      </c>
      <c r="U98" s="1176">
        <f t="shared" ref="U98" si="125">C98+L98+O98+R98</f>
        <v>1</v>
      </c>
      <c r="V98" s="1076"/>
      <c r="W98" s="1879"/>
      <c r="X98" s="923" t="str">
        <f t="shared" si="119"/>
        <v>Consultant gpe DRH</v>
      </c>
      <c r="Y98" s="1117"/>
      <c r="Z98" s="1115"/>
      <c r="AA98" s="1621"/>
      <c r="AB98" s="1114"/>
      <c r="AC98" s="1264"/>
      <c r="AD98" s="1116"/>
      <c r="AE98" s="1252"/>
      <c r="AF98" s="1253"/>
      <c r="AG98" s="1116"/>
      <c r="AH98" s="1117"/>
      <c r="AI98" s="1115"/>
      <c r="AJ98" s="1116"/>
      <c r="AK98" s="1117"/>
      <c r="AL98" s="1115"/>
      <c r="AM98" s="1116"/>
      <c r="AN98" s="1265"/>
      <c r="AO98" s="1171"/>
      <c r="AP98" s="1001"/>
      <c r="AQ98" s="1185"/>
      <c r="AR98" s="1266"/>
      <c r="AS98" s="1914"/>
      <c r="AT98" s="801" t="str">
        <f t="shared" ref="AT98:AT107" si="126">BM98</f>
        <v>Consultant gpe DRH</v>
      </c>
      <c r="AU98" s="1256"/>
      <c r="AV98" s="1257"/>
      <c r="AW98" s="1258"/>
      <c r="AX98" s="1127"/>
      <c r="AY98" s="1259"/>
      <c r="AZ98" s="1260"/>
      <c r="BA98" s="999"/>
      <c r="BB98" s="1127"/>
      <c r="BC98" s="1257"/>
      <c r="BD98" s="1126"/>
      <c r="BE98" s="1127"/>
      <c r="BF98" s="1257"/>
      <c r="BG98" s="1188"/>
      <c r="BH98" s="1189"/>
      <c r="BI98" s="1262"/>
      <c r="BJ98" s="997">
        <f>1500</f>
        <v>1500</v>
      </c>
      <c r="BK98" s="1748"/>
      <c r="BL98" s="1681" t="e">
        <f>BH98+#REF!+U98</f>
        <v>#REF!</v>
      </c>
      <c r="BM98" s="879" t="s">
        <v>85</v>
      </c>
      <c r="BN98" s="1173">
        <f t="shared" ref="BN98:BN130" si="127">BG98+AQ98+T98</f>
        <v>1500</v>
      </c>
      <c r="BO98" s="1594"/>
      <c r="BP98" s="1670">
        <f t="shared" si="123"/>
        <v>0</v>
      </c>
      <c r="BQ98" s="24">
        <f>BD98+BA98+AW98+AU98+AN98+AK98+AH98+AE98+AB98+Y98+Q98+N98+K98+G98</f>
        <v>0</v>
      </c>
      <c r="BR98" s="702">
        <f>BJ98-BQ98</f>
        <v>1500</v>
      </c>
      <c r="BS98" s="1243"/>
      <c r="BT98" s="1243"/>
      <c r="BU98" s="1243"/>
      <c r="BV98" s="1244" t="s">
        <v>85</v>
      </c>
      <c r="BX98" s="24">
        <f t="shared" si="51"/>
        <v>1500</v>
      </c>
      <c r="BY98" s="24">
        <f t="shared" si="121"/>
        <v>0</v>
      </c>
      <c r="BZ98" s="15">
        <f t="shared" si="42"/>
        <v>0</v>
      </c>
    </row>
    <row r="99" spans="1:78" ht="22.5" customHeight="1">
      <c r="A99" s="1244" t="str">
        <f t="shared" si="120"/>
        <v>Personnel spécifique</v>
      </c>
      <c r="B99" s="1101"/>
      <c r="C99" s="1102"/>
      <c r="D99" s="1103"/>
      <c r="E99" s="1267"/>
      <c r="F99" s="1246"/>
      <c r="G99" s="999"/>
      <c r="H99" s="1000"/>
      <c r="I99" s="1001"/>
      <c r="J99" s="1717"/>
      <c r="K99" s="999"/>
      <c r="L99" s="1000"/>
      <c r="M99" s="1638"/>
      <c r="N99" s="1126"/>
      <c r="O99" s="1127"/>
      <c r="P99" s="1653"/>
      <c r="Q99" s="999"/>
      <c r="R99" s="1247"/>
      <c r="S99" s="1128"/>
      <c r="T99" s="1129"/>
      <c r="U99" s="1130"/>
      <c r="V99" s="1248"/>
      <c r="W99" s="1879"/>
      <c r="X99" s="923" t="str">
        <f t="shared" si="119"/>
        <v>Personnel spécifique</v>
      </c>
      <c r="Y99" s="1117"/>
      <c r="Z99" s="1115"/>
      <c r="AA99" s="1621"/>
      <c r="AB99" s="1114"/>
      <c r="AC99" s="1264"/>
      <c r="AD99" s="1116"/>
      <c r="AE99" s="1252"/>
      <c r="AF99" s="1253"/>
      <c r="AG99" s="1116"/>
      <c r="AH99" s="1117"/>
      <c r="AI99" s="1115"/>
      <c r="AJ99" s="1116"/>
      <c r="AK99" s="1117"/>
      <c r="AL99" s="1115"/>
      <c r="AM99" s="1116"/>
      <c r="AN99" s="1265"/>
      <c r="AO99" s="1171"/>
      <c r="AP99" s="1001"/>
      <c r="AQ99" s="1185"/>
      <c r="AR99" s="1266"/>
      <c r="AS99" s="1914"/>
      <c r="AT99" s="801" t="str">
        <f t="shared" si="126"/>
        <v>Personnel spécifique</v>
      </c>
      <c r="AU99" s="1256"/>
      <c r="AV99" s="1257"/>
      <c r="AW99" s="1258"/>
      <c r="AX99" s="1127"/>
      <c r="AY99" s="1259"/>
      <c r="AZ99" s="1260"/>
      <c r="BA99" s="999"/>
      <c r="BB99" s="1127"/>
      <c r="BC99" s="1257"/>
      <c r="BD99" s="1126"/>
      <c r="BE99" s="1127"/>
      <c r="BF99" s="1257"/>
      <c r="BG99" s="1188"/>
      <c r="BH99" s="1189"/>
      <c r="BI99" s="1262"/>
      <c r="BJ99" s="997">
        <v>0</v>
      </c>
      <c r="BK99" s="1748"/>
      <c r="BL99" s="1681" t="e">
        <f>BH99+#REF!+U99</f>
        <v>#REF!</v>
      </c>
      <c r="BM99" s="879" t="s">
        <v>86</v>
      </c>
      <c r="BN99" s="1173">
        <f t="shared" si="127"/>
        <v>0</v>
      </c>
      <c r="BO99" s="1594"/>
      <c r="BP99" s="1670">
        <f t="shared" si="123"/>
        <v>0</v>
      </c>
      <c r="BQ99" s="24"/>
      <c r="BR99" s="702"/>
      <c r="BS99" s="1243"/>
      <c r="BT99" s="1243"/>
      <c r="BU99" s="1243"/>
      <c r="BV99" s="1244"/>
      <c r="BX99" s="24">
        <f t="shared" si="51"/>
        <v>0</v>
      </c>
      <c r="BY99" s="24">
        <f t="shared" si="121"/>
        <v>0</v>
      </c>
      <c r="BZ99" s="15">
        <f t="shared" si="42"/>
        <v>0</v>
      </c>
    </row>
    <row r="100" spans="1:78" ht="22.5" customHeight="1">
      <c r="A100" s="1244" t="str">
        <f t="shared" si="120"/>
        <v>Consultant GPEC T</v>
      </c>
      <c r="B100" s="1101"/>
      <c r="C100" s="1102"/>
      <c r="D100" s="1103"/>
      <c r="E100" s="1267"/>
      <c r="F100" s="1246"/>
      <c r="G100" s="999"/>
      <c r="H100" s="1000"/>
      <c r="I100" s="1001"/>
      <c r="J100" s="1717"/>
      <c r="K100" s="999"/>
      <c r="L100" s="1000"/>
      <c r="M100" s="1638"/>
      <c r="N100" s="1126"/>
      <c r="O100" s="1127"/>
      <c r="P100" s="1653"/>
      <c r="Q100" s="999"/>
      <c r="R100" s="1247"/>
      <c r="S100" s="1128"/>
      <c r="T100" s="1129"/>
      <c r="U100" s="1130"/>
      <c r="V100" s="1248"/>
      <c r="W100" s="1879"/>
      <c r="X100" s="923" t="str">
        <f t="shared" si="119"/>
        <v>Consultant GPEC T</v>
      </c>
      <c r="Y100" s="1117"/>
      <c r="Z100" s="1115"/>
      <c r="AA100" s="1621"/>
      <c r="AB100" s="1114"/>
      <c r="AC100" s="1264"/>
      <c r="AD100" s="1116"/>
      <c r="AE100" s="1252"/>
      <c r="AF100" s="1253"/>
      <c r="AG100" s="1116"/>
      <c r="AH100" s="1117"/>
      <c r="AI100" s="1115"/>
      <c r="AJ100" s="1116"/>
      <c r="AK100" s="1117"/>
      <c r="AL100" s="1115"/>
      <c r="AM100" s="1116"/>
      <c r="AN100" s="1265"/>
      <c r="AO100" s="1171"/>
      <c r="AP100" s="1001"/>
      <c r="AQ100" s="1185"/>
      <c r="AR100" s="1266"/>
      <c r="AS100" s="1914"/>
      <c r="AT100" s="801" t="str">
        <f t="shared" si="126"/>
        <v>Consultant GPEC T</v>
      </c>
      <c r="AU100" s="1256"/>
      <c r="AV100" s="1257"/>
      <c r="AW100" s="1258"/>
      <c r="AX100" s="1127"/>
      <c r="AY100" s="1259"/>
      <c r="AZ100" s="1260"/>
      <c r="BA100" s="989">
        <f>(BJ100-K100)*BB100</f>
        <v>5000</v>
      </c>
      <c r="BB100" s="1268">
        <v>1</v>
      </c>
      <c r="BC100" s="1089"/>
      <c r="BD100" s="1126"/>
      <c r="BE100" s="1127"/>
      <c r="BF100" s="1257"/>
      <c r="BG100" s="995">
        <f>BD100+BA100+AW100+AU100</f>
        <v>5000</v>
      </c>
      <c r="BH100" s="1269" t="e">
        <f>BE100+BB100+AX100+#REF!</f>
        <v>#REF!</v>
      </c>
      <c r="BI100" s="747"/>
      <c r="BJ100" s="997">
        <v>5000</v>
      </c>
      <c r="BK100" s="1748"/>
      <c r="BL100" s="1681" t="e">
        <f>BH100</f>
        <v>#REF!</v>
      </c>
      <c r="BM100" s="879" t="s">
        <v>87</v>
      </c>
      <c r="BN100" s="1173">
        <f t="shared" si="127"/>
        <v>5000</v>
      </c>
      <c r="BO100" s="1594"/>
      <c r="BP100" s="1670">
        <f t="shared" si="123"/>
        <v>0</v>
      </c>
      <c r="BQ100" s="24"/>
      <c r="BR100" s="702"/>
      <c r="BS100" s="1243"/>
      <c r="BT100" s="1243"/>
      <c r="BU100" s="1243"/>
      <c r="BV100" s="1244" t="s">
        <v>87</v>
      </c>
      <c r="BX100" s="24">
        <f t="shared" si="51"/>
        <v>5000</v>
      </c>
      <c r="BY100" s="24">
        <f t="shared" si="121"/>
        <v>0</v>
      </c>
      <c r="BZ100" s="15">
        <f t="shared" si="42"/>
        <v>0</v>
      </c>
    </row>
    <row r="101" spans="1:78" ht="22.5" customHeight="1">
      <c r="A101" s="1244" t="str">
        <f t="shared" si="120"/>
        <v>Consultant DLA MEF</v>
      </c>
      <c r="B101" s="705">
        <f t="shared" ref="B101:B107" si="128">BJ101*C101</f>
        <v>28.931957170030202</v>
      </c>
      <c r="C101" s="1072">
        <f t="shared" ref="C101:C106" si="129">($D$6/$BL$6)</f>
        <v>1.6073309538905668E-2</v>
      </c>
      <c r="D101" s="1073"/>
      <c r="E101" s="705">
        <f t="shared" ref="E101:E107" si="130">BJ101*F101</f>
        <v>0</v>
      </c>
      <c r="F101" s="1073">
        <f t="shared" ref="F101:F106" si="131">$F$6/$BL$6</f>
        <v>0</v>
      </c>
      <c r="G101" s="705">
        <f t="shared" ref="G101:G102" si="132">E101+B101</f>
        <v>28.931957170030202</v>
      </c>
      <c r="H101" s="1074">
        <f t="shared" ref="H101:H102" si="133">F101+C101</f>
        <v>1.6073309538905668E-2</v>
      </c>
      <c r="I101" s="1075"/>
      <c r="J101" s="1711"/>
      <c r="K101" s="711">
        <f t="shared" ref="K101:K107" si="134">BJ101*L101</f>
        <v>72.316173664860415</v>
      </c>
      <c r="L101" s="964">
        <f t="shared" ref="L101:L106" si="135">$M$6/$BL$6</f>
        <v>4.0175652036033564E-2</v>
      </c>
      <c r="M101" s="1633"/>
      <c r="N101" s="713">
        <f t="shared" ref="N101:N107" si="136">BJ101*O101</f>
        <v>202.47175868885608</v>
      </c>
      <c r="O101" s="965">
        <f t="shared" ref="O101:O106" si="137">$P$6/$BL$6</f>
        <v>0.11248431038269782</v>
      </c>
      <c r="P101" s="1650"/>
      <c r="Q101" s="1523">
        <f t="shared" ref="Q101:Q107" si="138">BJ101*R101</f>
        <v>74.765597780993858</v>
      </c>
      <c r="R101" s="1524">
        <f t="shared" ref="R101:R106" si="139">($S$6/$BL$6)</f>
        <v>4.1536443211663256E-2</v>
      </c>
      <c r="S101" s="1529"/>
      <c r="T101" s="715">
        <f t="shared" ref="T101:T107" si="140">B101+K101+N101+Q101</f>
        <v>378.48548730474056</v>
      </c>
      <c r="U101" s="966">
        <f t="shared" ref="U101:U107" si="141">C101+L101+O101+R101</f>
        <v>0.21026971516930029</v>
      </c>
      <c r="V101" s="1076"/>
      <c r="W101" s="1879"/>
      <c r="X101" s="923" t="str">
        <f t="shared" si="119"/>
        <v>Consultant DLA MEF</v>
      </c>
      <c r="Y101" s="968">
        <f t="shared" ref="Y101:Y106" si="142">BJ101*Z101</f>
        <v>972.33011497566122</v>
      </c>
      <c r="Z101" s="1113">
        <f t="shared" ref="Z101:Z106" si="143">$AA$6/($BL$6)</f>
        <v>0.54018339720870068</v>
      </c>
      <c r="AA101" s="1613"/>
      <c r="AB101" s="970">
        <f t="shared" ref="AB101:AB106" si="144">BJ101*AC101</f>
        <v>357.82722879127232</v>
      </c>
      <c r="AC101" s="971">
        <f t="shared" ref="AC101:AC106" si="145">$AD$6/($BL$6)</f>
        <v>0.19879290488404017</v>
      </c>
      <c r="AD101" s="972"/>
      <c r="AE101" s="973">
        <f t="shared" ref="AE101:AE106" si="146">BJ101*AF101</f>
        <v>25.386934749986978</v>
      </c>
      <c r="AF101" s="1095">
        <f t="shared" ref="AF101:AF106" si="147">$AG$6/($BL$6)</f>
        <v>1.4103852638881654E-2</v>
      </c>
      <c r="AG101" s="1096"/>
      <c r="AH101" s="976">
        <f t="shared" ref="AH101:AH106" si="148">BJ101*AI101</f>
        <v>0</v>
      </c>
      <c r="AI101" s="1097">
        <f t="shared" ref="AI101:AI106" si="149">$AJ$6/($BL$6)</f>
        <v>0</v>
      </c>
      <c r="AJ101" s="1098"/>
      <c r="AK101" s="979">
        <f t="shared" ref="AK101:AK106" si="150">BJ101*AL101</f>
        <v>0</v>
      </c>
      <c r="AL101" s="1099">
        <f t="shared" ref="AL101:AL106" si="151">$AM$6/($BL$6)</f>
        <v>0</v>
      </c>
      <c r="AM101" s="981"/>
      <c r="AN101" s="1265"/>
      <c r="AO101" s="1171"/>
      <c r="AP101" s="1001"/>
      <c r="AQ101" s="985">
        <f t="shared" ref="AQ101" si="152">Y101+AB101+AE101+AH101+AK101</f>
        <v>1355.5442785169205</v>
      </c>
      <c r="AR101" s="736"/>
      <c r="AS101" s="1914"/>
      <c r="AT101" s="801" t="str">
        <f t="shared" si="126"/>
        <v>Consultant DLA MEF</v>
      </c>
      <c r="AU101" s="737">
        <f t="shared" ref="AU101:AU106" si="153">BJ101*AV101</f>
        <v>24.068509974403181</v>
      </c>
      <c r="AV101" s="1085">
        <f t="shared" ref="AV101:AV106" si="154">$AV$6/$BL$6</f>
        <v>1.337139443022399E-2</v>
      </c>
      <c r="AW101" s="986">
        <f t="shared" ref="AW101:AW106" si="155">BJ101*AX101</f>
        <v>0</v>
      </c>
      <c r="AX101" s="1086">
        <f t="shared" ref="AX101:AX106" si="156">$AY$6/($BL$6)</f>
        <v>0</v>
      </c>
      <c r="AY101" s="1087"/>
      <c r="AZ101" s="1088"/>
      <c r="BA101" s="989">
        <f t="shared" ref="BA101:BA106" si="157">BJ101*BB101</f>
        <v>42.016082585045602</v>
      </c>
      <c r="BB101" s="990">
        <f t="shared" ref="BB101:BB106" si="158">$BC$6/($BL$6)</f>
        <v>2.3342268102803113E-2</v>
      </c>
      <c r="BC101" s="1089"/>
      <c r="BD101" s="992">
        <f t="shared" ref="BD101:BD106" si="159">BJ101*BE101</f>
        <v>0</v>
      </c>
      <c r="BE101" s="1090">
        <f t="shared" ref="BE101:BE106" si="160">$BF$6/($BL$6)</f>
        <v>0</v>
      </c>
      <c r="BF101" s="1091"/>
      <c r="BG101" s="995">
        <f t="shared" ref="BG101:BG106" si="161">AU101+BA101+BD101</f>
        <v>66.08459255944878</v>
      </c>
      <c r="BH101" s="996" t="e">
        <f>#REF!+BB101+BE101</f>
        <v>#REF!</v>
      </c>
      <c r="BI101" s="747"/>
      <c r="BJ101" s="1270">
        <v>1800</v>
      </c>
      <c r="BK101" s="1755"/>
      <c r="BL101" s="1681" t="e">
        <f>BH101+#REF!+U101</f>
        <v>#REF!</v>
      </c>
      <c r="BM101" s="879" t="s">
        <v>88</v>
      </c>
      <c r="BN101" s="1173">
        <f t="shared" si="127"/>
        <v>1800.1143583811099</v>
      </c>
      <c r="BO101" s="1594"/>
      <c r="BP101" s="1670">
        <f t="shared" si="123"/>
        <v>-0.11435838110992336</v>
      </c>
      <c r="BQ101" s="24"/>
      <c r="BR101" s="702"/>
      <c r="BV101" s="1244" t="s">
        <v>89</v>
      </c>
      <c r="BX101" s="24">
        <f t="shared" si="51"/>
        <v>1800.1143583811099</v>
      </c>
      <c r="BY101" s="24">
        <f t="shared" si="121"/>
        <v>-0.11435838110992336</v>
      </c>
      <c r="BZ101" s="15">
        <f t="shared" si="42"/>
        <v>0</v>
      </c>
    </row>
    <row r="102" spans="1:78" ht="22.5" customHeight="1">
      <c r="A102" s="1244" t="str">
        <f t="shared" si="120"/>
        <v>Avocat - Droit social</v>
      </c>
      <c r="B102" s="705">
        <f t="shared" si="128"/>
        <v>32.146619077811337</v>
      </c>
      <c r="C102" s="1072">
        <f t="shared" si="129"/>
        <v>1.6073309538905668E-2</v>
      </c>
      <c r="D102" s="1073"/>
      <c r="E102" s="705">
        <f t="shared" si="130"/>
        <v>0</v>
      </c>
      <c r="F102" s="1073">
        <f t="shared" si="131"/>
        <v>0</v>
      </c>
      <c r="G102" s="705">
        <f t="shared" si="132"/>
        <v>32.146619077811337</v>
      </c>
      <c r="H102" s="1074">
        <f t="shared" si="133"/>
        <v>1.6073309538905668E-2</v>
      </c>
      <c r="I102" s="1075"/>
      <c r="J102" s="1711"/>
      <c r="K102" s="711">
        <f t="shared" si="134"/>
        <v>80.351304072067123</v>
      </c>
      <c r="L102" s="964">
        <f t="shared" si="135"/>
        <v>4.0175652036033564E-2</v>
      </c>
      <c r="M102" s="1633"/>
      <c r="N102" s="713">
        <f t="shared" si="136"/>
        <v>224.96862076539566</v>
      </c>
      <c r="O102" s="965">
        <f t="shared" si="137"/>
        <v>0.11248431038269782</v>
      </c>
      <c r="P102" s="1650"/>
      <c r="Q102" s="1523">
        <f t="shared" si="138"/>
        <v>83.072886423326509</v>
      </c>
      <c r="R102" s="1524">
        <f t="shared" si="139"/>
        <v>4.1536443211663256E-2</v>
      </c>
      <c r="S102" s="1529"/>
      <c r="T102" s="715">
        <f t="shared" si="140"/>
        <v>420.5394303386006</v>
      </c>
      <c r="U102" s="966">
        <f t="shared" si="141"/>
        <v>0.21026971516930029</v>
      </c>
      <c r="V102" s="1076"/>
      <c r="W102" s="1879"/>
      <c r="X102" s="923" t="str">
        <f t="shared" ref="X102" si="162">BM102</f>
        <v>Avocat - Droit social</v>
      </c>
      <c r="Y102" s="968">
        <f t="shared" si="142"/>
        <v>1080.3667944174013</v>
      </c>
      <c r="Z102" s="1113">
        <f t="shared" si="143"/>
        <v>0.54018339720870068</v>
      </c>
      <c r="AA102" s="1613"/>
      <c r="AB102" s="970">
        <f t="shared" si="144"/>
        <v>397.58580976808031</v>
      </c>
      <c r="AC102" s="971">
        <f t="shared" si="145"/>
        <v>0.19879290488404017</v>
      </c>
      <c r="AD102" s="972"/>
      <c r="AE102" s="973">
        <f t="shared" si="146"/>
        <v>28.20770527776331</v>
      </c>
      <c r="AF102" s="1095">
        <f t="shared" si="147"/>
        <v>1.4103852638881654E-2</v>
      </c>
      <c r="AG102" s="1096"/>
      <c r="AH102" s="976">
        <f t="shared" si="148"/>
        <v>0</v>
      </c>
      <c r="AI102" s="1097">
        <f t="shared" si="149"/>
        <v>0</v>
      </c>
      <c r="AJ102" s="1098"/>
      <c r="AK102" s="979">
        <f t="shared" si="150"/>
        <v>0</v>
      </c>
      <c r="AL102" s="1099">
        <f t="shared" si="151"/>
        <v>0</v>
      </c>
      <c r="AM102" s="981"/>
      <c r="AN102" s="1265"/>
      <c r="AO102" s="1171"/>
      <c r="AP102" s="1001"/>
      <c r="AQ102" s="985">
        <f t="shared" ref="AQ102" si="163">Y102+AB102+AE102+AH102+AK102</f>
        <v>1506.1603094632449</v>
      </c>
      <c r="AR102" s="736"/>
      <c r="AS102" s="1914"/>
      <c r="AT102" s="801" t="str">
        <f t="shared" si="126"/>
        <v>Avocat - Droit social</v>
      </c>
      <c r="AU102" s="737">
        <f t="shared" si="153"/>
        <v>26.74278886044798</v>
      </c>
      <c r="AV102" s="1085">
        <f t="shared" si="154"/>
        <v>1.337139443022399E-2</v>
      </c>
      <c r="AW102" s="986">
        <f t="shared" si="155"/>
        <v>0</v>
      </c>
      <c r="AX102" s="1086">
        <f t="shared" si="156"/>
        <v>0</v>
      </c>
      <c r="AY102" s="1087"/>
      <c r="AZ102" s="1088"/>
      <c r="BA102" s="989">
        <f t="shared" si="157"/>
        <v>46.684536205606229</v>
      </c>
      <c r="BB102" s="990">
        <f t="shared" si="158"/>
        <v>2.3342268102803113E-2</v>
      </c>
      <c r="BC102" s="1089"/>
      <c r="BD102" s="992">
        <f t="shared" si="159"/>
        <v>0</v>
      </c>
      <c r="BE102" s="1090">
        <f t="shared" si="160"/>
        <v>0</v>
      </c>
      <c r="BF102" s="1091"/>
      <c r="BG102" s="995">
        <f t="shared" si="161"/>
        <v>73.427325066054209</v>
      </c>
      <c r="BH102" s="996" t="e">
        <f>#REF!+BB102+BE102</f>
        <v>#REF!</v>
      </c>
      <c r="BI102" s="747"/>
      <c r="BJ102" s="1270">
        <v>2000</v>
      </c>
      <c r="BK102" s="1755"/>
      <c r="BL102" s="1681" t="e">
        <f>BH102+#REF!+U102</f>
        <v>#REF!</v>
      </c>
      <c r="BM102" s="879" t="s">
        <v>90</v>
      </c>
      <c r="BN102" s="1173">
        <f t="shared" si="127"/>
        <v>2000.1270648678997</v>
      </c>
      <c r="BO102" s="1594"/>
      <c r="BP102" s="1670">
        <f t="shared" ref="BP102" si="164">BJ102-BN102</f>
        <v>-0.1270648678996622</v>
      </c>
      <c r="BQ102" s="24"/>
      <c r="BR102" s="702"/>
      <c r="BV102" s="1244" t="s">
        <v>91</v>
      </c>
      <c r="BX102" s="24">
        <f t="shared" si="51"/>
        <v>2000.1270648678997</v>
      </c>
      <c r="BY102" s="24">
        <f t="shared" ref="BY102" si="165">BJ102-BX102</f>
        <v>-0.1270648678996622</v>
      </c>
      <c r="BZ102" s="15">
        <f t="shared" si="42"/>
        <v>0</v>
      </c>
    </row>
    <row r="103" spans="1:78" ht="22.5" customHeight="1">
      <c r="A103" s="1244" t="str">
        <f t="shared" si="120"/>
        <v>Honoraires expert comptable</v>
      </c>
      <c r="B103" s="705">
        <f t="shared" si="128"/>
        <v>188.05772160519632</v>
      </c>
      <c r="C103" s="1072">
        <f t="shared" si="129"/>
        <v>1.6073309538905668E-2</v>
      </c>
      <c r="D103" s="1073"/>
      <c r="E103" s="705">
        <f t="shared" si="130"/>
        <v>0</v>
      </c>
      <c r="F103" s="1073">
        <f t="shared" si="131"/>
        <v>0</v>
      </c>
      <c r="G103" s="705">
        <f t="shared" ref="G103:H107" si="166">E103+B103</f>
        <v>188.05772160519632</v>
      </c>
      <c r="H103" s="1074">
        <f t="shared" si="166"/>
        <v>1.6073309538905668E-2</v>
      </c>
      <c r="I103" s="1075"/>
      <c r="J103" s="1711"/>
      <c r="K103" s="711">
        <f t="shared" si="134"/>
        <v>470.05512882159269</v>
      </c>
      <c r="L103" s="964">
        <f t="shared" si="135"/>
        <v>4.0175652036033564E-2</v>
      </c>
      <c r="M103" s="1633"/>
      <c r="N103" s="713">
        <f t="shared" si="136"/>
        <v>1316.0664314775645</v>
      </c>
      <c r="O103" s="965">
        <f t="shared" si="137"/>
        <v>0.11248431038269782</v>
      </c>
      <c r="P103" s="1650"/>
      <c r="Q103" s="1523">
        <f t="shared" si="138"/>
        <v>485.97638557646007</v>
      </c>
      <c r="R103" s="1524">
        <f t="shared" si="139"/>
        <v>4.1536443211663256E-2</v>
      </c>
      <c r="S103" s="1529"/>
      <c r="T103" s="715">
        <f t="shared" si="140"/>
        <v>2460.1556674808135</v>
      </c>
      <c r="U103" s="966">
        <f t="shared" si="141"/>
        <v>0.21026971516930029</v>
      </c>
      <c r="V103" s="1076"/>
      <c r="W103" s="1879"/>
      <c r="X103" s="923" t="str">
        <f t="shared" si="119"/>
        <v>Honoraires expert comptable</v>
      </c>
      <c r="Y103" s="968">
        <f t="shared" si="142"/>
        <v>6320.1457473417977</v>
      </c>
      <c r="Z103" s="1113">
        <f t="shared" si="143"/>
        <v>0.54018339720870068</v>
      </c>
      <c r="AA103" s="1613"/>
      <c r="AB103" s="970">
        <f t="shared" si="144"/>
        <v>2325.8769871432701</v>
      </c>
      <c r="AC103" s="971">
        <f t="shared" si="145"/>
        <v>0.19879290488404017</v>
      </c>
      <c r="AD103" s="972"/>
      <c r="AE103" s="973">
        <f t="shared" si="146"/>
        <v>165.01507587491537</v>
      </c>
      <c r="AF103" s="1095">
        <f t="shared" si="147"/>
        <v>1.4103852638881654E-2</v>
      </c>
      <c r="AG103" s="1096"/>
      <c r="AH103" s="976">
        <f t="shared" si="148"/>
        <v>0</v>
      </c>
      <c r="AI103" s="1097">
        <f t="shared" si="149"/>
        <v>0</v>
      </c>
      <c r="AJ103" s="1098"/>
      <c r="AK103" s="979">
        <f t="shared" si="150"/>
        <v>0</v>
      </c>
      <c r="AL103" s="1099">
        <f t="shared" si="151"/>
        <v>0</v>
      </c>
      <c r="AM103" s="981"/>
      <c r="AN103" s="982">
        <f>BJ103*AO103</f>
        <v>101.49832205043764</v>
      </c>
      <c r="AO103" s="1100">
        <f>$AP$6/$AA$6</f>
        <v>8.6750702607211651E-3</v>
      </c>
      <c r="AP103" s="984"/>
      <c r="AQ103" s="985">
        <f t="shared" ref="AQ103:AQ121" si="167">Y103+AB103+AE103+AH103+AK103</f>
        <v>8811.0378103599833</v>
      </c>
      <c r="AR103" s="736"/>
      <c r="AS103" s="1914"/>
      <c r="AT103" s="801" t="str">
        <f t="shared" si="126"/>
        <v>Honoraires expert comptable</v>
      </c>
      <c r="AU103" s="737">
        <f t="shared" si="153"/>
        <v>156.44531483362067</v>
      </c>
      <c r="AV103" s="1085">
        <f t="shared" si="154"/>
        <v>1.337139443022399E-2</v>
      </c>
      <c r="AW103" s="986">
        <f t="shared" si="155"/>
        <v>0</v>
      </c>
      <c r="AX103" s="1086">
        <f t="shared" si="156"/>
        <v>0</v>
      </c>
      <c r="AY103" s="1087"/>
      <c r="AZ103" s="1088"/>
      <c r="BA103" s="989">
        <f t="shared" si="157"/>
        <v>273.10453680279642</v>
      </c>
      <c r="BB103" s="990">
        <f t="shared" si="158"/>
        <v>2.3342268102803113E-2</v>
      </c>
      <c r="BC103" s="1089"/>
      <c r="BD103" s="992">
        <f t="shared" si="159"/>
        <v>0</v>
      </c>
      <c r="BE103" s="1090">
        <f t="shared" si="160"/>
        <v>0</v>
      </c>
      <c r="BF103" s="1091"/>
      <c r="BG103" s="995">
        <f t="shared" si="161"/>
        <v>429.54985163641709</v>
      </c>
      <c r="BH103" s="996" t="e">
        <f>#REF!+BB103+BE103</f>
        <v>#REF!</v>
      </c>
      <c r="BI103" s="747"/>
      <c r="BJ103" s="997">
        <v>11700</v>
      </c>
      <c r="BK103" s="1748"/>
      <c r="BL103" s="1681" t="e">
        <f>BH103+#REF!+U103</f>
        <v>#REF!</v>
      </c>
      <c r="BM103" s="879" t="s">
        <v>92</v>
      </c>
      <c r="BN103" s="1173">
        <f t="shared" si="127"/>
        <v>11700.743329477213</v>
      </c>
      <c r="BO103" s="1594"/>
      <c r="BP103" s="1670">
        <f t="shared" si="123"/>
        <v>-0.74332947721268283</v>
      </c>
      <c r="BQ103" s="24">
        <f>BD103+BA103+AW103+AU103+AN103+AK103+AH103+AE103+AB103+Y103+Q103+N103+K103+G103</f>
        <v>11802.241651527651</v>
      </c>
      <c r="BR103" s="702">
        <f>BJ103-BQ103</f>
        <v>-102.2416515276509</v>
      </c>
      <c r="BV103" s="1244" t="s">
        <v>92</v>
      </c>
      <c r="BX103" s="24">
        <f t="shared" ref="BX103:BX131" si="168">B103+K103+N103+Q103+Y103+AB103+AE103+AH103+AU103+BA103+BD103</f>
        <v>11700.743329477215</v>
      </c>
      <c r="BY103" s="24">
        <f t="shared" si="121"/>
        <v>-0.74332947721450182</v>
      </c>
      <c r="BZ103" s="15">
        <f t="shared" si="42"/>
        <v>0</v>
      </c>
    </row>
    <row r="104" spans="1:78" ht="22.5" customHeight="1">
      <c r="A104" s="1244" t="str">
        <f t="shared" si="120"/>
        <v>Honoraires CAC</v>
      </c>
      <c r="B104" s="705">
        <f t="shared" si="128"/>
        <v>83.581209602309471</v>
      </c>
      <c r="C104" s="1072">
        <f t="shared" si="129"/>
        <v>1.6073309538905668E-2</v>
      </c>
      <c r="D104" s="1073"/>
      <c r="E104" s="705">
        <f t="shared" si="130"/>
        <v>0</v>
      </c>
      <c r="F104" s="1073">
        <f t="shared" si="131"/>
        <v>0</v>
      </c>
      <c r="G104" s="705">
        <f t="shared" si="166"/>
        <v>83.581209602309471</v>
      </c>
      <c r="H104" s="1074">
        <f t="shared" si="166"/>
        <v>1.6073309538905668E-2</v>
      </c>
      <c r="I104" s="1075"/>
      <c r="J104" s="1711"/>
      <c r="K104" s="711">
        <f t="shared" si="134"/>
        <v>208.91339058737452</v>
      </c>
      <c r="L104" s="964">
        <f t="shared" si="135"/>
        <v>4.0175652036033564E-2</v>
      </c>
      <c r="M104" s="1633"/>
      <c r="N104" s="713">
        <f t="shared" si="136"/>
        <v>584.91841399002863</v>
      </c>
      <c r="O104" s="965">
        <f t="shared" si="137"/>
        <v>0.11248431038269782</v>
      </c>
      <c r="P104" s="1650"/>
      <c r="Q104" s="1523">
        <f t="shared" si="138"/>
        <v>215.98950470064892</v>
      </c>
      <c r="R104" s="1524">
        <f t="shared" si="139"/>
        <v>4.1536443211663256E-2</v>
      </c>
      <c r="S104" s="1529"/>
      <c r="T104" s="715">
        <f t="shared" si="140"/>
        <v>1093.4025188803616</v>
      </c>
      <c r="U104" s="966">
        <f t="shared" si="141"/>
        <v>0.21026971516930029</v>
      </c>
      <c r="V104" s="1076"/>
      <c r="W104" s="1879"/>
      <c r="X104" s="923" t="str">
        <f t="shared" si="119"/>
        <v>Honoraires CAC</v>
      </c>
      <c r="Y104" s="968">
        <f t="shared" si="142"/>
        <v>2808.9536654852436</v>
      </c>
      <c r="Z104" s="1113">
        <f t="shared" si="143"/>
        <v>0.54018339720870068</v>
      </c>
      <c r="AA104" s="1613"/>
      <c r="AB104" s="970">
        <f t="shared" si="144"/>
        <v>1033.7231053970088</v>
      </c>
      <c r="AC104" s="971">
        <f t="shared" si="145"/>
        <v>0.19879290488404017</v>
      </c>
      <c r="AD104" s="972"/>
      <c r="AE104" s="973">
        <f t="shared" si="146"/>
        <v>73.3400337221846</v>
      </c>
      <c r="AF104" s="1095">
        <f t="shared" si="147"/>
        <v>1.4103852638881654E-2</v>
      </c>
      <c r="AG104" s="1096"/>
      <c r="AH104" s="976">
        <f t="shared" si="148"/>
        <v>0</v>
      </c>
      <c r="AI104" s="1097">
        <f t="shared" si="149"/>
        <v>0</v>
      </c>
      <c r="AJ104" s="1098"/>
      <c r="AK104" s="979">
        <f t="shared" si="150"/>
        <v>0</v>
      </c>
      <c r="AL104" s="1099">
        <f t="shared" si="151"/>
        <v>0</v>
      </c>
      <c r="AM104" s="981"/>
      <c r="AN104" s="982">
        <f>BJ104*AO104</f>
        <v>45.110365355750062</v>
      </c>
      <c r="AO104" s="1100">
        <f>$AP$6/$AA$6</f>
        <v>8.6750702607211651E-3</v>
      </c>
      <c r="AP104" s="984"/>
      <c r="AQ104" s="985">
        <f t="shared" si="167"/>
        <v>3916.0168046044373</v>
      </c>
      <c r="AR104" s="736"/>
      <c r="AS104" s="1914"/>
      <c r="AT104" s="801" t="str">
        <f t="shared" si="126"/>
        <v>Honoraires CAC</v>
      </c>
      <c r="AU104" s="737">
        <f t="shared" si="153"/>
        <v>69.531251037164751</v>
      </c>
      <c r="AV104" s="1085">
        <f t="shared" si="154"/>
        <v>1.337139443022399E-2</v>
      </c>
      <c r="AW104" s="986">
        <f t="shared" si="155"/>
        <v>0</v>
      </c>
      <c r="AX104" s="1086">
        <f t="shared" si="156"/>
        <v>0</v>
      </c>
      <c r="AY104" s="1087"/>
      <c r="AZ104" s="1088"/>
      <c r="BA104" s="989">
        <f t="shared" si="157"/>
        <v>121.37979413457619</v>
      </c>
      <c r="BB104" s="990">
        <f t="shared" si="158"/>
        <v>2.3342268102803113E-2</v>
      </c>
      <c r="BC104" s="1089"/>
      <c r="BD104" s="992">
        <f t="shared" si="159"/>
        <v>0</v>
      </c>
      <c r="BE104" s="1090">
        <f t="shared" si="160"/>
        <v>0</v>
      </c>
      <c r="BF104" s="1091"/>
      <c r="BG104" s="995">
        <f t="shared" si="161"/>
        <v>190.91104517174094</v>
      </c>
      <c r="BH104" s="996" t="e">
        <f>#REF!+BB104+BE104</f>
        <v>#REF!</v>
      </c>
      <c r="BI104" s="747"/>
      <c r="BJ104" s="997">
        <v>5200</v>
      </c>
      <c r="BK104" s="1748"/>
      <c r="BL104" s="1681" t="e">
        <f>BH104+#REF!+U104</f>
        <v>#REF!</v>
      </c>
      <c r="BM104" s="879" t="s">
        <v>93</v>
      </c>
      <c r="BN104" s="1173">
        <f t="shared" si="127"/>
        <v>5200.3303686565396</v>
      </c>
      <c r="BO104" s="1594"/>
      <c r="BP104" s="1670">
        <f t="shared" si="123"/>
        <v>-0.33036865653957648</v>
      </c>
      <c r="BQ104" s="24">
        <f>BD104+BA104+AW104+AU104+AN104+AK104+AH104+AE104+AB104+Y104+Q104+N104+K104+G104</f>
        <v>5245.4407340122889</v>
      </c>
      <c r="BR104" s="702">
        <f>BJ104-BQ104</f>
        <v>-45.440734012288885</v>
      </c>
      <c r="BV104" s="1244" t="s">
        <v>93</v>
      </c>
      <c r="BX104" s="24">
        <f t="shared" si="168"/>
        <v>5200.3303686565405</v>
      </c>
      <c r="BY104" s="24">
        <f t="shared" si="121"/>
        <v>-0.33036865654048597</v>
      </c>
      <c r="BZ104" s="15">
        <f t="shared" si="42"/>
        <v>0</v>
      </c>
    </row>
    <row r="105" spans="1:78" ht="22.5" customHeight="1">
      <c r="A105" s="1244" t="str">
        <f t="shared" si="120"/>
        <v>Frais d'acte et de contentieux</v>
      </c>
      <c r="B105" s="705">
        <f t="shared" si="128"/>
        <v>0.80366547694528334</v>
      </c>
      <c r="C105" s="1072">
        <f t="shared" si="129"/>
        <v>1.6073309538905668E-2</v>
      </c>
      <c r="D105" s="1073"/>
      <c r="E105" s="705">
        <f t="shared" si="130"/>
        <v>0</v>
      </c>
      <c r="F105" s="1073">
        <f t="shared" si="131"/>
        <v>0</v>
      </c>
      <c r="G105" s="705">
        <f t="shared" si="166"/>
        <v>0.80366547694528334</v>
      </c>
      <c r="H105" s="1074">
        <f t="shared" si="166"/>
        <v>1.6073309538905668E-2</v>
      </c>
      <c r="I105" s="1075"/>
      <c r="J105" s="1711"/>
      <c r="K105" s="711">
        <f t="shared" si="134"/>
        <v>2.0087826018016783</v>
      </c>
      <c r="L105" s="964">
        <f t="shared" si="135"/>
        <v>4.0175652036033564E-2</v>
      </c>
      <c r="M105" s="1633"/>
      <c r="N105" s="713">
        <f t="shared" si="136"/>
        <v>5.624215519134891</v>
      </c>
      <c r="O105" s="965">
        <f t="shared" si="137"/>
        <v>0.11248431038269782</v>
      </c>
      <c r="P105" s="1650"/>
      <c r="Q105" s="1523">
        <f t="shared" si="138"/>
        <v>2.0768221605831627</v>
      </c>
      <c r="R105" s="1524">
        <f t="shared" si="139"/>
        <v>4.1536443211663256E-2</v>
      </c>
      <c r="S105" s="1529"/>
      <c r="T105" s="715">
        <f t="shared" si="140"/>
        <v>10.513485758465016</v>
      </c>
      <c r="U105" s="966">
        <f t="shared" si="141"/>
        <v>0.21026971516930029</v>
      </c>
      <c r="V105" s="1076"/>
      <c r="W105" s="1879"/>
      <c r="X105" s="923" t="str">
        <f t="shared" si="119"/>
        <v>Frais d'acte et de contentieux</v>
      </c>
      <c r="Y105" s="968">
        <f t="shared" si="142"/>
        <v>27.009169860435033</v>
      </c>
      <c r="Z105" s="1113">
        <f t="shared" si="143"/>
        <v>0.54018339720870068</v>
      </c>
      <c r="AA105" s="1613"/>
      <c r="AB105" s="970">
        <f t="shared" si="144"/>
        <v>9.9396452442020085</v>
      </c>
      <c r="AC105" s="971">
        <f t="shared" si="145"/>
        <v>0.19879290488404017</v>
      </c>
      <c r="AD105" s="972"/>
      <c r="AE105" s="973">
        <f t="shared" si="146"/>
        <v>0.70519263194408266</v>
      </c>
      <c r="AF105" s="1095">
        <f t="shared" si="147"/>
        <v>1.4103852638881654E-2</v>
      </c>
      <c r="AG105" s="1096"/>
      <c r="AH105" s="976">
        <f t="shared" si="148"/>
        <v>0</v>
      </c>
      <c r="AI105" s="1097">
        <f t="shared" si="149"/>
        <v>0</v>
      </c>
      <c r="AJ105" s="1098"/>
      <c r="AK105" s="979">
        <f t="shared" si="150"/>
        <v>0</v>
      </c>
      <c r="AL105" s="1099">
        <f t="shared" si="151"/>
        <v>0</v>
      </c>
      <c r="AM105" s="981"/>
      <c r="AN105" s="982">
        <f>BJ105*AO105</f>
        <v>0.43375351303605825</v>
      </c>
      <c r="AO105" s="1100">
        <f>$AP$6/$AA$6</f>
        <v>8.6750702607211651E-3</v>
      </c>
      <c r="AP105" s="984"/>
      <c r="AQ105" s="985">
        <f t="shared" si="167"/>
        <v>37.654007736581121</v>
      </c>
      <c r="AR105" s="736"/>
      <c r="AS105" s="1914"/>
      <c r="AT105" s="801" t="str">
        <f t="shared" si="126"/>
        <v>Frais d'acte et de contentieux</v>
      </c>
      <c r="AU105" s="737">
        <f t="shared" si="153"/>
        <v>0.66856972151119953</v>
      </c>
      <c r="AV105" s="1085">
        <f t="shared" si="154"/>
        <v>1.337139443022399E-2</v>
      </c>
      <c r="AW105" s="986">
        <f t="shared" si="155"/>
        <v>0</v>
      </c>
      <c r="AX105" s="1086">
        <f t="shared" si="156"/>
        <v>0</v>
      </c>
      <c r="AY105" s="1087"/>
      <c r="AZ105" s="1088"/>
      <c r="BA105" s="989">
        <f t="shared" si="157"/>
        <v>1.1671134051401557</v>
      </c>
      <c r="BB105" s="990">
        <f t="shared" si="158"/>
        <v>2.3342268102803113E-2</v>
      </c>
      <c r="BC105" s="1089"/>
      <c r="BD105" s="992">
        <f t="shared" si="159"/>
        <v>0</v>
      </c>
      <c r="BE105" s="1090">
        <f t="shared" si="160"/>
        <v>0</v>
      </c>
      <c r="BF105" s="1091"/>
      <c r="BG105" s="995">
        <f t="shared" si="161"/>
        <v>1.8356831266513551</v>
      </c>
      <c r="BH105" s="996" t="e">
        <f>#REF!+BB105+BE105</f>
        <v>#REF!</v>
      </c>
      <c r="BI105" s="747"/>
      <c r="BJ105" s="997">
        <v>50</v>
      </c>
      <c r="BK105" s="1748"/>
      <c r="BL105" s="1681" t="e">
        <f>BH105+#REF!+U105</f>
        <v>#REF!</v>
      </c>
      <c r="BM105" s="1043" t="s">
        <v>94</v>
      </c>
      <c r="BN105" s="1173">
        <f t="shared" si="127"/>
        <v>50.003176621697492</v>
      </c>
      <c r="BO105" s="1594"/>
      <c r="BP105" s="1670">
        <f t="shared" si="123"/>
        <v>-3.1766216974915551E-3</v>
      </c>
      <c r="BQ105" s="24">
        <f>BD105+BA105+AW105+AU105+AN105+AK105+AH105+AE105+AB105+Y105+Q105+N105+K105+G105</f>
        <v>50.436930134733551</v>
      </c>
      <c r="BR105" s="702">
        <f>BJ105-BQ105</f>
        <v>-0.4369301347335508</v>
      </c>
      <c r="BV105" s="1244" t="s">
        <v>94</v>
      </c>
      <c r="BX105" s="24">
        <f t="shared" si="168"/>
        <v>50.003176621697492</v>
      </c>
      <c r="BY105" s="24">
        <f t="shared" si="121"/>
        <v>-3.1766216974915551E-3</v>
      </c>
      <c r="BZ105" s="15">
        <f t="shared" si="42"/>
        <v>0</v>
      </c>
    </row>
    <row r="106" spans="1:78" ht="22.5" customHeight="1">
      <c r="A106" s="1244" t="str">
        <f t="shared" si="120"/>
        <v>MEF Outils Communication</v>
      </c>
      <c r="B106" s="705">
        <f t="shared" si="128"/>
        <v>25.717295262249067</v>
      </c>
      <c r="C106" s="1072">
        <f t="shared" si="129"/>
        <v>1.6073309538905668E-2</v>
      </c>
      <c r="D106" s="1073"/>
      <c r="E106" s="705">
        <f t="shared" si="130"/>
        <v>0</v>
      </c>
      <c r="F106" s="1073">
        <f t="shared" si="131"/>
        <v>0</v>
      </c>
      <c r="G106" s="705">
        <f t="shared" si="166"/>
        <v>25.717295262249067</v>
      </c>
      <c r="H106" s="1074">
        <f t="shared" si="166"/>
        <v>1.6073309538905668E-2</v>
      </c>
      <c r="I106" s="1075"/>
      <c r="J106" s="1711"/>
      <c r="K106" s="711">
        <f t="shared" si="134"/>
        <v>64.281043257653707</v>
      </c>
      <c r="L106" s="964">
        <f t="shared" si="135"/>
        <v>4.0175652036033564E-2</v>
      </c>
      <c r="M106" s="1633"/>
      <c r="N106" s="713">
        <f t="shared" si="136"/>
        <v>179.97489661231651</v>
      </c>
      <c r="O106" s="965">
        <f t="shared" si="137"/>
        <v>0.11248431038269782</v>
      </c>
      <c r="P106" s="1650"/>
      <c r="Q106" s="1523">
        <f t="shared" si="138"/>
        <v>66.458309138661207</v>
      </c>
      <c r="R106" s="1524">
        <f t="shared" si="139"/>
        <v>4.1536443211663256E-2</v>
      </c>
      <c r="S106" s="1529"/>
      <c r="T106" s="715">
        <f t="shared" si="140"/>
        <v>336.43154427088052</v>
      </c>
      <c r="U106" s="966">
        <f t="shared" si="141"/>
        <v>0.21026971516930029</v>
      </c>
      <c r="V106" s="1076"/>
      <c r="W106" s="1879"/>
      <c r="X106" s="923" t="str">
        <f t="shared" si="119"/>
        <v>MEF Outils Communication</v>
      </c>
      <c r="Y106" s="968">
        <f t="shared" si="142"/>
        <v>864.29343553392107</v>
      </c>
      <c r="Z106" s="1113">
        <f t="shared" si="143"/>
        <v>0.54018339720870068</v>
      </c>
      <c r="AA106" s="1613"/>
      <c r="AB106" s="970">
        <f t="shared" si="144"/>
        <v>318.06864781446427</v>
      </c>
      <c r="AC106" s="971">
        <f t="shared" si="145"/>
        <v>0.19879290488404017</v>
      </c>
      <c r="AD106" s="972"/>
      <c r="AE106" s="973">
        <f t="shared" si="146"/>
        <v>22.566164222210645</v>
      </c>
      <c r="AF106" s="1095">
        <f t="shared" si="147"/>
        <v>1.4103852638881654E-2</v>
      </c>
      <c r="AG106" s="1096"/>
      <c r="AH106" s="976">
        <f t="shared" si="148"/>
        <v>0</v>
      </c>
      <c r="AI106" s="1097">
        <f t="shared" si="149"/>
        <v>0</v>
      </c>
      <c r="AJ106" s="1098"/>
      <c r="AK106" s="979">
        <f t="shared" si="150"/>
        <v>0</v>
      </c>
      <c r="AL106" s="1099">
        <f t="shared" si="151"/>
        <v>0</v>
      </c>
      <c r="AM106" s="981"/>
      <c r="AN106" s="982">
        <f>BJ106*AO106</f>
        <v>13.880112417153864</v>
      </c>
      <c r="AO106" s="1100">
        <f>$AP$6/$AA$6</f>
        <v>8.6750702607211651E-3</v>
      </c>
      <c r="AP106" s="984"/>
      <c r="AQ106" s="985">
        <f>Y106+AB106+AE106+AH106+AK106</f>
        <v>1204.9282475705959</v>
      </c>
      <c r="AR106" s="736"/>
      <c r="AS106" s="1914"/>
      <c r="AT106" s="801" t="str">
        <f t="shared" si="126"/>
        <v>MEF Outils Communication</v>
      </c>
      <c r="AU106" s="737">
        <f t="shared" si="153"/>
        <v>21.394231088358385</v>
      </c>
      <c r="AV106" s="1085">
        <f t="shared" si="154"/>
        <v>1.337139443022399E-2</v>
      </c>
      <c r="AW106" s="986">
        <f t="shared" si="155"/>
        <v>0</v>
      </c>
      <c r="AX106" s="1086">
        <f t="shared" si="156"/>
        <v>0</v>
      </c>
      <c r="AY106" s="1087"/>
      <c r="AZ106" s="1088"/>
      <c r="BA106" s="989">
        <f t="shared" si="157"/>
        <v>37.347628964484983</v>
      </c>
      <c r="BB106" s="990">
        <f t="shared" si="158"/>
        <v>2.3342268102803113E-2</v>
      </c>
      <c r="BC106" s="1089"/>
      <c r="BD106" s="992">
        <f t="shared" si="159"/>
        <v>0</v>
      </c>
      <c r="BE106" s="1090">
        <f t="shared" si="160"/>
        <v>0</v>
      </c>
      <c r="BF106" s="1091"/>
      <c r="BG106" s="995">
        <f t="shared" si="161"/>
        <v>58.741860052843364</v>
      </c>
      <c r="BH106" s="996" t="e">
        <f>#REF!+BB106+BE106</f>
        <v>#REF!</v>
      </c>
      <c r="BI106" s="747"/>
      <c r="BJ106" s="997">
        <v>1600</v>
      </c>
      <c r="BK106" s="1748"/>
      <c r="BL106" s="1681" t="e">
        <f>BH106+#REF!+U106</f>
        <v>#REF!</v>
      </c>
      <c r="BM106" s="879" t="s">
        <v>95</v>
      </c>
      <c r="BN106" s="1173">
        <f t="shared" si="127"/>
        <v>1600.1016518943197</v>
      </c>
      <c r="BO106" s="1594"/>
      <c r="BP106" s="1670">
        <f t="shared" si="123"/>
        <v>-0.10165189431972976</v>
      </c>
      <c r="BQ106" s="24" t="e">
        <f>BD106+BA106+AW106+AU106+AN106+AK106+AH106+AE106+#REF!+Y106+Q106+N106+K106+G106</f>
        <v>#REF!</v>
      </c>
      <c r="BR106" s="702" t="e">
        <f>BJ106-BQ106</f>
        <v>#REF!</v>
      </c>
      <c r="BV106" s="1244" t="s">
        <v>95</v>
      </c>
      <c r="BX106" s="24">
        <f t="shared" si="168"/>
        <v>1600.1016518943197</v>
      </c>
      <c r="BY106" s="24">
        <f t="shared" si="121"/>
        <v>-0.10165189431972976</v>
      </c>
      <c r="BZ106" s="15">
        <f t="shared" si="42"/>
        <v>0</v>
      </c>
    </row>
    <row r="107" spans="1:78" ht="22.5" customHeight="1">
      <c r="A107" s="1244" t="str">
        <f t="shared" si="120"/>
        <v>MDE Outils Communication</v>
      </c>
      <c r="B107" s="705">
        <f t="shared" si="128"/>
        <v>114.66208668683539</v>
      </c>
      <c r="C107" s="1072">
        <f>($D$6/$V$6)</f>
        <v>7.6441391124556932E-2</v>
      </c>
      <c r="D107" s="1073"/>
      <c r="E107" s="705">
        <f t="shared" si="130"/>
        <v>0</v>
      </c>
      <c r="F107" s="1073">
        <f>$F$6/$V$6</f>
        <v>0</v>
      </c>
      <c r="G107" s="705">
        <f t="shared" si="166"/>
        <v>114.66208668683539</v>
      </c>
      <c r="H107" s="1074">
        <f t="shared" si="166"/>
        <v>7.6441391124556932E-2</v>
      </c>
      <c r="I107" s="1075"/>
      <c r="J107" s="1711"/>
      <c r="K107" s="711">
        <f t="shared" si="134"/>
        <v>286.60084504099291</v>
      </c>
      <c r="L107" s="964">
        <f>$M$6/($V$6)</f>
        <v>0.19106723002732859</v>
      </c>
      <c r="M107" s="1633"/>
      <c r="N107" s="713">
        <f t="shared" si="136"/>
        <v>802.42875412750379</v>
      </c>
      <c r="O107" s="965">
        <f>$P$6/($V$6)</f>
        <v>0.53495250275166917</v>
      </c>
      <c r="P107" s="1650"/>
      <c r="Q107" s="1523">
        <f t="shared" si="138"/>
        <v>296.30831414466792</v>
      </c>
      <c r="R107" s="1524">
        <f>$S$6/($V$6)</f>
        <v>0.19753887609644527</v>
      </c>
      <c r="S107" s="1529"/>
      <c r="T107" s="715">
        <f t="shared" si="140"/>
        <v>1500</v>
      </c>
      <c r="U107" s="1176">
        <f t="shared" si="141"/>
        <v>0.99999999999999989</v>
      </c>
      <c r="V107" s="1076"/>
      <c r="W107" s="1879"/>
      <c r="X107" s="923" t="str">
        <f t="shared" si="119"/>
        <v>MDE Outils Communication</v>
      </c>
      <c r="Y107" s="1117"/>
      <c r="Z107" s="1115"/>
      <c r="AA107" s="1621"/>
      <c r="AB107" s="1114"/>
      <c r="AC107" s="1264"/>
      <c r="AD107" s="1116"/>
      <c r="AE107" s="1117"/>
      <c r="AF107" s="1115"/>
      <c r="AG107" s="1116"/>
      <c r="AH107" s="1117"/>
      <c r="AI107" s="1115"/>
      <c r="AJ107" s="1116"/>
      <c r="AK107" s="1117"/>
      <c r="AL107" s="1115"/>
      <c r="AM107" s="1116"/>
      <c r="AN107" s="999"/>
      <c r="AO107" s="1000"/>
      <c r="AP107" s="1001"/>
      <c r="AQ107" s="1185"/>
      <c r="AR107" s="1266"/>
      <c r="AS107" s="1914"/>
      <c r="AT107" s="801" t="str">
        <f t="shared" si="126"/>
        <v>MDE Outils Communication</v>
      </c>
      <c r="AU107" s="1118"/>
      <c r="AV107" s="1119"/>
      <c r="AW107" s="1120"/>
      <c r="AX107" s="1000"/>
      <c r="AY107" s="1121"/>
      <c r="AZ107" s="1122"/>
      <c r="BA107" s="999"/>
      <c r="BB107" s="1123"/>
      <c r="BC107" s="1119"/>
      <c r="BD107" s="999"/>
      <c r="BE107" s="1000"/>
      <c r="BF107" s="1119"/>
      <c r="BG107" s="1188"/>
      <c r="BH107" s="1189"/>
      <c r="BI107" s="1262"/>
      <c r="BJ107" s="997">
        <v>1500</v>
      </c>
      <c r="BK107" s="1748"/>
      <c r="BL107" s="1681" t="e">
        <f>BH107+#REF!+U107</f>
        <v>#REF!</v>
      </c>
      <c r="BM107" s="879" t="s">
        <v>96</v>
      </c>
      <c r="BN107" s="1173">
        <f t="shared" si="127"/>
        <v>1500</v>
      </c>
      <c r="BO107" s="1594"/>
      <c r="BP107" s="1670">
        <f t="shared" si="123"/>
        <v>0</v>
      </c>
      <c r="BQ107" s="24"/>
      <c r="BR107" s="702"/>
      <c r="BV107" s="1244" t="s">
        <v>96</v>
      </c>
      <c r="BX107" s="24">
        <f t="shared" si="168"/>
        <v>1500</v>
      </c>
      <c r="BY107" s="24">
        <f t="shared" si="121"/>
        <v>0</v>
      </c>
      <c r="BZ107" s="15">
        <f t="shared" si="42"/>
        <v>0</v>
      </c>
    </row>
    <row r="108" spans="1:78" ht="22.5" customHeight="1">
      <c r="A108" s="1244" t="str">
        <f t="shared" si="120"/>
        <v>ML Outils Communication</v>
      </c>
      <c r="B108" s="1101"/>
      <c r="C108" s="1102"/>
      <c r="D108" s="1103"/>
      <c r="E108" s="1101"/>
      <c r="F108" s="1103"/>
      <c r="G108" s="1101"/>
      <c r="H108" s="1108"/>
      <c r="I108" s="1109"/>
      <c r="J108" s="1713"/>
      <c r="K108" s="999"/>
      <c r="L108" s="1000"/>
      <c r="M108" s="1638"/>
      <c r="N108" s="1126"/>
      <c r="O108" s="1127"/>
      <c r="P108" s="1653"/>
      <c r="Q108" s="999"/>
      <c r="R108" s="1000"/>
      <c r="S108" s="1128"/>
      <c r="T108" s="1129"/>
      <c r="U108" s="1130"/>
      <c r="V108" s="1112"/>
      <c r="W108" s="1879"/>
      <c r="X108" s="923" t="str">
        <f t="shared" si="119"/>
        <v>ML Outils Communication</v>
      </c>
      <c r="Y108" s="968">
        <f>BJ108*Z108</f>
        <v>717.29867506760615</v>
      </c>
      <c r="Z108" s="1113">
        <f>AA6/AR6</f>
        <v>0.71729867506760614</v>
      </c>
      <c r="AA108" s="1613"/>
      <c r="AB108" s="970">
        <f>BJ108*AC108</f>
        <v>263.97310251109275</v>
      </c>
      <c r="AC108" s="971">
        <f>AD6/AR6</f>
        <v>0.26397310251109274</v>
      </c>
      <c r="AD108" s="972"/>
      <c r="AE108" s="973">
        <f>BJ108*AF108</f>
        <v>18.728222421301073</v>
      </c>
      <c r="AF108" s="1095">
        <f>(AG6/AR6)</f>
        <v>1.8728222421301073E-2</v>
      </c>
      <c r="AG108" s="1096"/>
      <c r="AH108" s="976">
        <f>BJ108*AI108</f>
        <v>0</v>
      </c>
      <c r="AI108" s="1097">
        <f>AJ6/AR6</f>
        <v>0</v>
      </c>
      <c r="AJ108" s="1098"/>
      <c r="AK108" s="979">
        <f>BJ108*AL108</f>
        <v>0</v>
      </c>
      <c r="AL108" s="1099">
        <f>AM6/AR6</f>
        <v>0</v>
      </c>
      <c r="AM108" s="981"/>
      <c r="AN108" s="999"/>
      <c r="AO108" s="1000"/>
      <c r="AP108" s="1001"/>
      <c r="AQ108" s="985">
        <f t="shared" si="167"/>
        <v>1000</v>
      </c>
      <c r="AR108" s="736"/>
      <c r="AS108" s="1914"/>
      <c r="AT108" s="801" t="str">
        <f t="shared" ref="AT108:AT114" si="169">BM108</f>
        <v>ML Outils Communication</v>
      </c>
      <c r="AU108" s="1118"/>
      <c r="AV108" s="1119"/>
      <c r="AW108" s="1120"/>
      <c r="AX108" s="1000"/>
      <c r="AY108" s="1121"/>
      <c r="AZ108" s="1122"/>
      <c r="BA108" s="999"/>
      <c r="BB108" s="1123"/>
      <c r="BC108" s="1119"/>
      <c r="BD108" s="999"/>
      <c r="BE108" s="1000"/>
      <c r="BF108" s="1119"/>
      <c r="BG108" s="1188"/>
      <c r="BH108" s="1189"/>
      <c r="BI108" s="1262"/>
      <c r="BJ108" s="997">
        <v>1000</v>
      </c>
      <c r="BK108" s="1748"/>
      <c r="BL108" s="1681" t="e">
        <f>BH108+#REF!+U108</f>
        <v>#REF!</v>
      </c>
      <c r="BM108" s="879" t="s">
        <v>97</v>
      </c>
      <c r="BN108" s="1173">
        <f t="shared" si="127"/>
        <v>1000</v>
      </c>
      <c r="BO108" s="1594"/>
      <c r="BP108" s="1670">
        <f t="shared" si="123"/>
        <v>0</v>
      </c>
      <c r="BQ108" s="24"/>
      <c r="BR108" s="702"/>
      <c r="BV108" s="1244" t="s">
        <v>97</v>
      </c>
      <c r="BX108" s="24">
        <f t="shared" si="168"/>
        <v>1000</v>
      </c>
      <c r="BY108" s="24">
        <f t="shared" si="121"/>
        <v>0</v>
      </c>
      <c r="BZ108" s="15">
        <f t="shared" si="42"/>
        <v>0</v>
      </c>
    </row>
    <row r="109" spans="1:78" ht="22.5" customHeight="1">
      <c r="A109" s="1244" t="str">
        <f t="shared" si="120"/>
        <v>Cadeaux partenaires</v>
      </c>
      <c r="B109" s="705">
        <f>BJ109*C109</f>
        <v>1.6073309538905667</v>
      </c>
      <c r="C109" s="1072">
        <f>($D$6/$BL$6)</f>
        <v>1.6073309538905668E-2</v>
      </c>
      <c r="D109" s="1073"/>
      <c r="E109" s="705">
        <f>BJ109*F109</f>
        <v>0</v>
      </c>
      <c r="F109" s="1073">
        <f>$F$6/$BL$6</f>
        <v>0</v>
      </c>
      <c r="G109" s="705">
        <f>E109+B109</f>
        <v>1.6073309538905667</v>
      </c>
      <c r="H109" s="1074">
        <f>F109+C109</f>
        <v>1.6073309538905668E-2</v>
      </c>
      <c r="I109" s="1075"/>
      <c r="J109" s="1711"/>
      <c r="K109" s="711">
        <f>BJ109*L109</f>
        <v>4.0175652036033567</v>
      </c>
      <c r="L109" s="964">
        <f>$M$6/$BL$6</f>
        <v>4.0175652036033564E-2</v>
      </c>
      <c r="M109" s="1633"/>
      <c r="N109" s="713">
        <f>BJ109*O109</f>
        <v>11.248431038269782</v>
      </c>
      <c r="O109" s="965">
        <f>$P$6/$BL$6</f>
        <v>0.11248431038269782</v>
      </c>
      <c r="P109" s="1650"/>
      <c r="Q109" s="1523">
        <f>BJ109*R109</f>
        <v>4.1536443211663254</v>
      </c>
      <c r="R109" s="1524">
        <f>($S$6/$BL$6)</f>
        <v>4.1536443211663256E-2</v>
      </c>
      <c r="S109" s="1529"/>
      <c r="T109" s="715">
        <f t="shared" ref="T109:T113" si="170">B109+K109+N109+Q109</f>
        <v>21.026971516930033</v>
      </c>
      <c r="U109" s="966">
        <f t="shared" ref="U109:U113" si="171">C109+L109+O109+R109</f>
        <v>0.21026971516930029</v>
      </c>
      <c r="V109" s="1076"/>
      <c r="W109" s="1879"/>
      <c r="X109" s="923" t="str">
        <f t="shared" si="119"/>
        <v>Cadeaux partenaires</v>
      </c>
      <c r="Y109" s="968">
        <f>BJ109*Z109</f>
        <v>54.018339720870067</v>
      </c>
      <c r="Z109" s="1113">
        <f>$AA$6/($BL$6)</f>
        <v>0.54018339720870068</v>
      </c>
      <c r="AA109" s="1613"/>
      <c r="AB109" s="970">
        <f>BJ109*AC109</f>
        <v>19.879290488404017</v>
      </c>
      <c r="AC109" s="971">
        <f>$AD$6/($BL$6)</f>
        <v>0.19879290488404017</v>
      </c>
      <c r="AD109" s="972"/>
      <c r="AE109" s="973">
        <f>BJ109*AF109</f>
        <v>1.4103852638881653</v>
      </c>
      <c r="AF109" s="1095">
        <f>$AG$6/($BL$6)</f>
        <v>1.4103852638881654E-2</v>
      </c>
      <c r="AG109" s="1096"/>
      <c r="AH109" s="976">
        <f>BJ109*AI109</f>
        <v>0</v>
      </c>
      <c r="AI109" s="1097">
        <f>$AJ$6/($BL$6)</f>
        <v>0</v>
      </c>
      <c r="AJ109" s="1098"/>
      <c r="AK109" s="979">
        <f>BJ109*AL109</f>
        <v>0</v>
      </c>
      <c r="AL109" s="1099">
        <f>$AM$6/($BL$6)</f>
        <v>0</v>
      </c>
      <c r="AM109" s="981"/>
      <c r="AN109" s="999"/>
      <c r="AO109" s="1000"/>
      <c r="AP109" s="1001"/>
      <c r="AQ109" s="985">
        <f t="shared" si="167"/>
        <v>75.308015473162243</v>
      </c>
      <c r="AR109" s="736"/>
      <c r="AS109" s="1914"/>
      <c r="AT109" s="801" t="str">
        <f t="shared" si="169"/>
        <v>Cadeaux partenaires</v>
      </c>
      <c r="AU109" s="737" t="e">
        <f>BJ109*#REF!</f>
        <v>#REF!</v>
      </c>
      <c r="AV109" s="1085">
        <f t="shared" ref="AV109:AV110" si="172">$AV$6/$BL$6</f>
        <v>1.337139443022399E-2</v>
      </c>
      <c r="AW109" s="986">
        <f>BJ109*AX109</f>
        <v>0</v>
      </c>
      <c r="AX109" s="1086">
        <f>$AY$6/($BL$6)</f>
        <v>0</v>
      </c>
      <c r="AY109" s="1087"/>
      <c r="AZ109" s="1088"/>
      <c r="BA109" s="989">
        <f>BJ109*BB109</f>
        <v>2.3342268102803114</v>
      </c>
      <c r="BB109" s="990">
        <f>$BC$6/($BL$6)</f>
        <v>2.3342268102803113E-2</v>
      </c>
      <c r="BC109" s="1089"/>
      <c r="BD109" s="992">
        <f>BJ109*BE109</f>
        <v>0</v>
      </c>
      <c r="BE109" s="1090">
        <f>$BF$6/($BL$6)</f>
        <v>0</v>
      </c>
      <c r="BF109" s="1091"/>
      <c r="BG109" s="995" t="e">
        <f>AU109+BA109+BD109</f>
        <v>#REF!</v>
      </c>
      <c r="BH109" s="996" t="e">
        <f>#REF!+BB109+BE109</f>
        <v>#REF!</v>
      </c>
      <c r="BI109" s="747"/>
      <c r="BJ109" s="997">
        <v>100</v>
      </c>
      <c r="BK109" s="1748"/>
      <c r="BL109" s="1681" t="e">
        <f>BH109+#REF!+U109</f>
        <v>#REF!</v>
      </c>
      <c r="BM109" s="879" t="s">
        <v>98</v>
      </c>
      <c r="BN109" s="1173" t="e">
        <f t="shared" si="127"/>
        <v>#REF!</v>
      </c>
      <c r="BO109" s="1594"/>
      <c r="BP109" s="1670" t="e">
        <f t="shared" si="123"/>
        <v>#REF!</v>
      </c>
      <c r="BQ109" s="24"/>
      <c r="BR109" s="702"/>
      <c r="BV109" s="1244" t="s">
        <v>98</v>
      </c>
      <c r="BX109" s="24" t="e">
        <f t="shared" si="168"/>
        <v>#REF!</v>
      </c>
      <c r="BY109" s="24" t="e">
        <f t="shared" si="121"/>
        <v>#REF!</v>
      </c>
      <c r="BZ109" s="15" t="e">
        <f t="shared" si="42"/>
        <v>#REF!</v>
      </c>
    </row>
    <row r="110" spans="1:78" ht="22.5" customHeight="1">
      <c r="A110" s="1244" t="str">
        <f t="shared" si="120"/>
        <v>Remb de frais sur justificatif</v>
      </c>
      <c r="B110" s="705">
        <f>BJ110*C110</f>
        <v>144.659785850151</v>
      </c>
      <c r="C110" s="1072">
        <f>($D$6/$BL$6)</f>
        <v>1.6073309538905668E-2</v>
      </c>
      <c r="D110" s="1073"/>
      <c r="E110" s="705">
        <f>BJ110*F110</f>
        <v>0</v>
      </c>
      <c r="F110" s="1073">
        <f>$F$6/$BL$6</f>
        <v>0</v>
      </c>
      <c r="G110" s="705">
        <f>E110+B110</f>
        <v>144.659785850151</v>
      </c>
      <c r="H110" s="1074">
        <f>F110+C110</f>
        <v>1.6073309538905668E-2</v>
      </c>
      <c r="I110" s="1075"/>
      <c r="J110" s="1711"/>
      <c r="K110" s="711">
        <f>BJ110*L110</f>
        <v>361.58086832430206</v>
      </c>
      <c r="L110" s="964">
        <f>$M$6/$BL$6</f>
        <v>4.0175652036033564E-2</v>
      </c>
      <c r="M110" s="1633"/>
      <c r="N110" s="713">
        <f>BJ110*O110</f>
        <v>1012.3587934442804</v>
      </c>
      <c r="O110" s="965">
        <f>$P$6/$BL$6</f>
        <v>0.11248431038269782</v>
      </c>
      <c r="P110" s="1650"/>
      <c r="Q110" s="1523">
        <f>BJ110*R110</f>
        <v>373.82798890496929</v>
      </c>
      <c r="R110" s="1524">
        <f>($S$6/$BL$6)</f>
        <v>4.1536443211663256E-2</v>
      </c>
      <c r="S110" s="1529"/>
      <c r="T110" s="715">
        <f t="shared" si="170"/>
        <v>1892.4274365237027</v>
      </c>
      <c r="U110" s="966">
        <f t="shared" si="171"/>
        <v>0.21026971516930029</v>
      </c>
      <c r="V110" s="1076"/>
      <c r="W110" s="1879"/>
      <c r="X110" s="923" t="str">
        <f t="shared" si="119"/>
        <v>Remb de frais sur justificatif</v>
      </c>
      <c r="Y110" s="968">
        <f>BJ110*Z110</f>
        <v>4861.6505748783065</v>
      </c>
      <c r="Z110" s="1113">
        <f>$AA$6/($BL$6)</f>
        <v>0.54018339720870068</v>
      </c>
      <c r="AA110" s="1613"/>
      <c r="AB110" s="970">
        <f>BJ110*AC110</f>
        <v>1789.1361439563616</v>
      </c>
      <c r="AC110" s="971">
        <f>$AD$6/($BL$6)</f>
        <v>0.19879290488404017</v>
      </c>
      <c r="AD110" s="972"/>
      <c r="AE110" s="973">
        <f>BJ110*AF110</f>
        <v>126.93467374993489</v>
      </c>
      <c r="AF110" s="1095">
        <f>$AG$6/($BL$6)</f>
        <v>1.4103852638881654E-2</v>
      </c>
      <c r="AG110" s="1096"/>
      <c r="AH110" s="976">
        <f>BJ110*AI110</f>
        <v>0</v>
      </c>
      <c r="AI110" s="1097">
        <f>$AJ$6/($BL$6)</f>
        <v>0</v>
      </c>
      <c r="AJ110" s="1098"/>
      <c r="AK110" s="979">
        <f>BJ110*AL110</f>
        <v>0</v>
      </c>
      <c r="AL110" s="1099">
        <f>$AM$6/($BL$6)</f>
        <v>0</v>
      </c>
      <c r="AM110" s="981"/>
      <c r="AN110" s="982">
        <f>BJ110*AO110</f>
        <v>78.07563234649048</v>
      </c>
      <c r="AO110" s="1100">
        <f>$AP$6/$AA$6</f>
        <v>8.6750702607211651E-3</v>
      </c>
      <c r="AP110" s="984"/>
      <c r="AQ110" s="985">
        <f t="shared" si="167"/>
        <v>6777.7213925846027</v>
      </c>
      <c r="AR110" s="736"/>
      <c r="AS110" s="1914"/>
      <c r="AT110" s="801" t="str">
        <f t="shared" si="169"/>
        <v>Remb de frais sur justificatif</v>
      </c>
      <c r="AU110" s="737" t="e">
        <f>BJ110*#REF!</f>
        <v>#REF!</v>
      </c>
      <c r="AV110" s="1085">
        <f t="shared" si="172"/>
        <v>1.337139443022399E-2</v>
      </c>
      <c r="AW110" s="986">
        <f>BJ110*AX110</f>
        <v>0</v>
      </c>
      <c r="AX110" s="1086">
        <f>$AY$6/($BL$6)</f>
        <v>0</v>
      </c>
      <c r="AY110" s="1087"/>
      <c r="AZ110" s="1088"/>
      <c r="BA110" s="989">
        <f>BJ110*BB110</f>
        <v>210.08041292522802</v>
      </c>
      <c r="BB110" s="990">
        <f>$BC$6/($BL$6)</f>
        <v>2.3342268102803113E-2</v>
      </c>
      <c r="BC110" s="1089"/>
      <c r="BD110" s="992">
        <f>BJ110*BE110</f>
        <v>0</v>
      </c>
      <c r="BE110" s="1090">
        <f>$BF$6/($BL$6)</f>
        <v>0</v>
      </c>
      <c r="BF110" s="1091"/>
      <c r="BG110" s="995" t="e">
        <f>AU110+BA110+BD110</f>
        <v>#REF!</v>
      </c>
      <c r="BH110" s="996" t="e">
        <f>#REF!+BB110+BE110</f>
        <v>#REF!</v>
      </c>
      <c r="BI110" s="747"/>
      <c r="BJ110" s="997">
        <v>9000</v>
      </c>
      <c r="BK110" s="1748"/>
      <c r="BL110" s="1681" t="e">
        <f>BH110+#REF!+U110</f>
        <v>#REF!</v>
      </c>
      <c r="BM110" s="1043" t="s">
        <v>99</v>
      </c>
      <c r="BN110" s="1173" t="e">
        <f t="shared" si="127"/>
        <v>#REF!</v>
      </c>
      <c r="BO110" s="1594"/>
      <c r="BP110" s="1670" t="e">
        <f t="shared" si="123"/>
        <v>#REF!</v>
      </c>
      <c r="BQ110" s="24" t="e">
        <f>BD110+BA110+AW110+AU110+AN110+AK110+AH110+AE110+AB110+Y110+Q110+N110+K110+G110</f>
        <v>#REF!</v>
      </c>
      <c r="BR110" s="702" t="e">
        <f>BJ110-BQ110</f>
        <v>#REF!</v>
      </c>
      <c r="BV110" s="1244" t="s">
        <v>99</v>
      </c>
      <c r="BX110" s="24" t="e">
        <f t="shared" si="168"/>
        <v>#REF!</v>
      </c>
      <c r="BY110" s="24" t="e">
        <f t="shared" si="121"/>
        <v>#REF!</v>
      </c>
      <c r="BZ110" s="15" t="e">
        <f t="shared" si="42"/>
        <v>#REF!</v>
      </c>
    </row>
    <row r="111" spans="1:78" ht="22.5" customHeight="1">
      <c r="A111" s="1244" t="str">
        <f t="shared" si="120"/>
        <v>Déplacements divers (actions)</v>
      </c>
      <c r="B111" s="1101"/>
      <c r="C111" s="1102"/>
      <c r="D111" s="1103"/>
      <c r="E111" s="1101"/>
      <c r="F111" s="1103"/>
      <c r="G111" s="1101"/>
      <c r="H111" s="1108"/>
      <c r="I111" s="1109"/>
      <c r="J111" s="1713"/>
      <c r="K111" s="711">
        <v>150</v>
      </c>
      <c r="L111" s="964">
        <v>1</v>
      </c>
      <c r="M111" s="1633"/>
      <c r="N111" s="713">
        <v>150</v>
      </c>
      <c r="O111" s="1175">
        <v>1</v>
      </c>
      <c r="P111" s="1655"/>
      <c r="Q111" s="1101"/>
      <c r="R111" s="1108"/>
      <c r="S111" s="1111"/>
      <c r="T111" s="715">
        <f t="shared" si="170"/>
        <v>300</v>
      </c>
      <c r="U111" s="1176">
        <v>1</v>
      </c>
      <c r="V111" s="1076"/>
      <c r="W111" s="1879"/>
      <c r="X111" s="923" t="str">
        <f t="shared" si="119"/>
        <v>Déplacements divers (actions)</v>
      </c>
      <c r="Y111" s="968">
        <v>1200</v>
      </c>
      <c r="Z111" s="1271">
        <v>1</v>
      </c>
      <c r="AA111" s="1613"/>
      <c r="AB111" s="1118"/>
      <c r="AC111" s="1123"/>
      <c r="AD111" s="1001"/>
      <c r="AE111" s="999"/>
      <c r="AF111" s="1000"/>
      <c r="AG111" s="1001"/>
      <c r="AH111" s="999"/>
      <c r="AI111" s="1000"/>
      <c r="AJ111" s="1001"/>
      <c r="AK111" s="999"/>
      <c r="AL111" s="1000"/>
      <c r="AM111" s="1001"/>
      <c r="AN111" s="999"/>
      <c r="AO111" s="1000"/>
      <c r="AP111" s="1001"/>
      <c r="AQ111" s="985">
        <f t="shared" si="167"/>
        <v>1200</v>
      </c>
      <c r="AR111" s="736"/>
      <c r="AS111" s="1914"/>
      <c r="AT111" s="801" t="str">
        <f t="shared" si="169"/>
        <v>Déplacements divers (actions)</v>
      </c>
      <c r="AU111" s="1118"/>
      <c r="AV111" s="1119"/>
      <c r="AW111" s="1120"/>
      <c r="AX111" s="1000"/>
      <c r="AY111" s="1121"/>
      <c r="AZ111" s="1122"/>
      <c r="BA111" s="999"/>
      <c r="BB111" s="1123"/>
      <c r="BC111" s="1119"/>
      <c r="BD111" s="999"/>
      <c r="BE111" s="1000"/>
      <c r="BF111" s="1119"/>
      <c r="BG111" s="1188"/>
      <c r="BH111" s="1189"/>
      <c r="BI111" s="1262"/>
      <c r="BJ111" s="997">
        <v>1500</v>
      </c>
      <c r="BK111" s="1748"/>
      <c r="BL111" s="1681">
        <v>1</v>
      </c>
      <c r="BM111" s="1043" t="s">
        <v>100</v>
      </c>
      <c r="BN111" s="1173">
        <f t="shared" si="127"/>
        <v>1500</v>
      </c>
      <c r="BO111" s="1594"/>
      <c r="BP111" s="1670">
        <f t="shared" si="123"/>
        <v>0</v>
      </c>
      <c r="BQ111" s="24"/>
      <c r="BR111" s="702"/>
      <c r="BV111" s="1244" t="s">
        <v>100</v>
      </c>
      <c r="BX111" s="24">
        <f t="shared" si="168"/>
        <v>1500</v>
      </c>
      <c r="BY111" s="24">
        <f t="shared" si="121"/>
        <v>0</v>
      </c>
      <c r="BZ111" s="15">
        <f t="shared" si="42"/>
        <v>0</v>
      </c>
    </row>
    <row r="112" spans="1:78" ht="22.5" customHeight="1">
      <c r="A112" s="1244" t="str">
        <f>BM112</f>
        <v>MEF - Mission Réception</v>
      </c>
      <c r="B112" s="705">
        <f>BJ112*C112</f>
        <v>19.2879714466868</v>
      </c>
      <c r="C112" s="1072">
        <f>($D$6/$BL$6)</f>
        <v>1.6073309538905668E-2</v>
      </c>
      <c r="D112" s="1073"/>
      <c r="E112" s="705"/>
      <c r="F112" s="1073"/>
      <c r="G112" s="705"/>
      <c r="H112" s="1074"/>
      <c r="I112" s="1075"/>
      <c r="J112" s="1711"/>
      <c r="K112" s="711">
        <f>BJ112*L112</f>
        <v>48.210782443240277</v>
      </c>
      <c r="L112" s="964">
        <f>$M$6/$BL$6</f>
        <v>4.0175652036033564E-2</v>
      </c>
      <c r="M112" s="1633"/>
      <c r="N112" s="713">
        <f>BJ112*O112</f>
        <v>134.9811724592374</v>
      </c>
      <c r="O112" s="965">
        <f>$P$6/$BL$6</f>
        <v>0.11248431038269782</v>
      </c>
      <c r="P112" s="1650"/>
      <c r="Q112" s="1523">
        <f>BJ112*R112</f>
        <v>49.843731853995905</v>
      </c>
      <c r="R112" s="1524">
        <f>($S$6/$BL$6)</f>
        <v>4.1536443211663256E-2</v>
      </c>
      <c r="S112" s="1529"/>
      <c r="T112" s="715">
        <f t="shared" si="170"/>
        <v>252.32365820316039</v>
      </c>
      <c r="U112" s="966">
        <f t="shared" si="171"/>
        <v>0.21026971516930029</v>
      </c>
      <c r="V112" s="1076"/>
      <c r="W112" s="1879"/>
      <c r="X112" s="923" t="str">
        <f>BM112</f>
        <v>MEF - Mission Réception</v>
      </c>
      <c r="Y112" s="968">
        <f>BJ112*Z112</f>
        <v>648.22007665044077</v>
      </c>
      <c r="Z112" s="1113">
        <f>$AA$6/($BL$6)</f>
        <v>0.54018339720870068</v>
      </c>
      <c r="AA112" s="1613"/>
      <c r="AB112" s="970">
        <f>BJ112*AC112</f>
        <v>238.5514858608482</v>
      </c>
      <c r="AC112" s="971">
        <f>$AD$6/($BL$6)</f>
        <v>0.19879290488404017</v>
      </c>
      <c r="AD112" s="972"/>
      <c r="AE112" s="973">
        <f>BJ112*AF112</f>
        <v>16.924623166657984</v>
      </c>
      <c r="AF112" s="1095">
        <f>$AG$6/($BL$6)</f>
        <v>1.4103852638881654E-2</v>
      </c>
      <c r="AG112" s="1096"/>
      <c r="AH112" s="976">
        <f>BJ112*AI112</f>
        <v>0</v>
      </c>
      <c r="AI112" s="1097">
        <f>$AJ$6/($BL$6)</f>
        <v>0</v>
      </c>
      <c r="AJ112" s="1098"/>
      <c r="AK112" s="979"/>
      <c r="AL112" s="1099"/>
      <c r="AM112" s="981"/>
      <c r="AN112" s="982">
        <f>BJ112*AO112</f>
        <v>10.410084312865399</v>
      </c>
      <c r="AO112" s="1100">
        <f>$AP$6/$AA$6</f>
        <v>8.6750702607211651E-3</v>
      </c>
      <c r="AP112" s="984"/>
      <c r="AQ112" s="985">
        <f>Y112+AB112+AE112+AH112+AK112</f>
        <v>903.69618567794691</v>
      </c>
      <c r="AR112" s="736"/>
      <c r="AS112" s="1914"/>
      <c r="AT112" s="801"/>
      <c r="AU112" s="737" t="e">
        <f>BJ112*#REF!</f>
        <v>#REF!</v>
      </c>
      <c r="AV112" s="1085">
        <f>$AV$6/$BL$6</f>
        <v>1.337139443022399E-2</v>
      </c>
      <c r="AW112" s="986"/>
      <c r="AX112" s="990"/>
      <c r="AY112" s="1087"/>
      <c r="AZ112" s="1088"/>
      <c r="BA112" s="989">
        <f>BJ112*BB112</f>
        <v>28.010721723363734</v>
      </c>
      <c r="BB112" s="990">
        <f>$BC$6/($BL$6)</f>
        <v>2.3342268102803113E-2</v>
      </c>
      <c r="BC112" s="1089"/>
      <c r="BD112" s="992">
        <f>BJ112*BE112</f>
        <v>0</v>
      </c>
      <c r="BE112" s="1090">
        <f>$BF$6/($BL$6)</f>
        <v>0</v>
      </c>
      <c r="BF112" s="1091"/>
      <c r="BG112" s="995" t="e">
        <f>AU112+BA112+BD112</f>
        <v>#REF!</v>
      </c>
      <c r="BH112" s="996" t="e">
        <f>#REF!+BB112+BE112</f>
        <v>#REF!</v>
      </c>
      <c r="BI112" s="747"/>
      <c r="BJ112" s="997">
        <v>1200</v>
      </c>
      <c r="BK112" s="1748"/>
      <c r="BL112" s="1681" t="e">
        <f>BH112+#REF!+U112</f>
        <v>#REF!</v>
      </c>
      <c r="BM112" s="879" t="s">
        <v>101</v>
      </c>
      <c r="BN112" s="1173" t="e">
        <f t="shared" si="127"/>
        <v>#REF!</v>
      </c>
      <c r="BO112" s="1594"/>
      <c r="BP112" s="1670" t="e">
        <f t="shared" si="123"/>
        <v>#REF!</v>
      </c>
      <c r="BQ112" s="24"/>
      <c r="BR112" s="702"/>
      <c r="BV112" s="1244"/>
      <c r="BX112" s="24" t="e">
        <f t="shared" si="168"/>
        <v>#REF!</v>
      </c>
      <c r="BY112" s="24" t="e">
        <f t="shared" si="121"/>
        <v>#REF!</v>
      </c>
      <c r="BZ112" s="15" t="e">
        <f t="shared" si="42"/>
        <v>#REF!</v>
      </c>
    </row>
    <row r="113" spans="1:79" ht="22.5" customHeight="1">
      <c r="A113" s="1244" t="str">
        <f t="shared" si="120"/>
        <v>MDE  Mission - Réception</v>
      </c>
      <c r="B113" s="705">
        <f>BJ113*C113</f>
        <v>114.66208668683539</v>
      </c>
      <c r="C113" s="1072">
        <f>($D$6/$V$6)</f>
        <v>7.6441391124556932E-2</v>
      </c>
      <c r="D113" s="1073"/>
      <c r="E113" s="705">
        <f>BJ113*F113</f>
        <v>0</v>
      </c>
      <c r="F113" s="1073">
        <f>$F$6/$V$6</f>
        <v>0</v>
      </c>
      <c r="G113" s="705">
        <f t="shared" ref="G113" si="173">E113+B113</f>
        <v>114.66208668683539</v>
      </c>
      <c r="H113" s="1074">
        <f t="shared" ref="H113" si="174">F113+C113</f>
        <v>7.6441391124556932E-2</v>
      </c>
      <c r="I113" s="1075"/>
      <c r="J113" s="1711"/>
      <c r="K113" s="711">
        <f>BJ113*L113</f>
        <v>286.60084504099291</v>
      </c>
      <c r="L113" s="964">
        <f>$M$6/($V$6)</f>
        <v>0.19106723002732859</v>
      </c>
      <c r="M113" s="1633"/>
      <c r="N113" s="713">
        <f>BJ113*O113</f>
        <v>802.42875412750379</v>
      </c>
      <c r="O113" s="965">
        <f>$P$6/($V$6)</f>
        <v>0.53495250275166917</v>
      </c>
      <c r="P113" s="1650"/>
      <c r="Q113" s="1523">
        <f>BJ113*R113</f>
        <v>296.30831414466792</v>
      </c>
      <c r="R113" s="1524">
        <f>$S$6/($V$6)</f>
        <v>0.19753887609644527</v>
      </c>
      <c r="S113" s="1529"/>
      <c r="T113" s="715">
        <f t="shared" si="170"/>
        <v>1500</v>
      </c>
      <c r="U113" s="1176">
        <f t="shared" si="171"/>
        <v>0.99999999999999989</v>
      </c>
      <c r="V113" s="1076"/>
      <c r="W113" s="1879"/>
      <c r="X113" s="923" t="str">
        <f t="shared" si="119"/>
        <v>MDE  Mission - Réception</v>
      </c>
      <c r="Y113" s="999"/>
      <c r="Z113" s="1000"/>
      <c r="AA113" s="1616"/>
      <c r="AB113" s="1118"/>
      <c r="AC113" s="1123"/>
      <c r="AD113" s="1001"/>
      <c r="AE113" s="999"/>
      <c r="AF113" s="1000"/>
      <c r="AG113" s="1001"/>
      <c r="AH113" s="999"/>
      <c r="AI113" s="1000"/>
      <c r="AJ113" s="1001"/>
      <c r="AK113" s="999"/>
      <c r="AL113" s="1000"/>
      <c r="AM113" s="1001"/>
      <c r="AN113" s="999"/>
      <c r="AO113" s="1000"/>
      <c r="AP113" s="1001"/>
      <c r="AQ113" s="1185"/>
      <c r="AR113" s="1172"/>
      <c r="AS113" s="1914"/>
      <c r="AT113" s="801" t="str">
        <f t="shared" si="169"/>
        <v>MDE  Mission - Réception</v>
      </c>
      <c r="AU113" s="1118"/>
      <c r="AV113" s="1119"/>
      <c r="AW113" s="1120"/>
      <c r="AX113" s="1000"/>
      <c r="AY113" s="1121"/>
      <c r="AZ113" s="1122"/>
      <c r="BA113" s="999"/>
      <c r="BB113" s="1123"/>
      <c r="BC113" s="1119"/>
      <c r="BD113" s="999"/>
      <c r="BE113" s="1000"/>
      <c r="BF113" s="1119"/>
      <c r="BG113" s="1188"/>
      <c r="BH113" s="1189"/>
      <c r="BI113" s="1262"/>
      <c r="BJ113" s="997">
        <v>1500</v>
      </c>
      <c r="BK113" s="1748"/>
      <c r="BL113" s="1681" t="e">
        <f>BH113+#REF!+U113</f>
        <v>#REF!</v>
      </c>
      <c r="BM113" s="879" t="s">
        <v>102</v>
      </c>
      <c r="BN113" s="1173">
        <f t="shared" si="127"/>
        <v>1500</v>
      </c>
      <c r="BO113" s="1594"/>
      <c r="BP113" s="1670">
        <f t="shared" si="123"/>
        <v>0</v>
      </c>
      <c r="BQ113" s="24"/>
      <c r="BR113" s="702"/>
      <c r="BV113" s="1244" t="s">
        <v>102</v>
      </c>
      <c r="BX113" s="24">
        <f t="shared" si="168"/>
        <v>1500</v>
      </c>
      <c r="BY113" s="24">
        <f t="shared" si="121"/>
        <v>0</v>
      </c>
      <c r="BZ113" s="15">
        <f t="shared" si="42"/>
        <v>0</v>
      </c>
    </row>
    <row r="114" spans="1:79" ht="22.5" customHeight="1">
      <c r="A114" s="1244" t="str">
        <f t="shared" si="120"/>
        <v>ML Mission - Réception</v>
      </c>
      <c r="B114" s="999"/>
      <c r="C114" s="1121"/>
      <c r="D114" s="1119"/>
      <c r="E114" s="999"/>
      <c r="F114" s="1119"/>
      <c r="G114" s="999"/>
      <c r="H114" s="1000"/>
      <c r="I114" s="1001"/>
      <c r="J114" s="1717"/>
      <c r="K114" s="999"/>
      <c r="L114" s="1000"/>
      <c r="M114" s="1638"/>
      <c r="N114" s="999"/>
      <c r="O114" s="1000"/>
      <c r="P114" s="1638"/>
      <c r="Q114" s="999"/>
      <c r="R114" s="1000"/>
      <c r="S114" s="1128"/>
      <c r="T114" s="1129"/>
      <c r="U114" s="1130"/>
      <c r="V114" s="1248"/>
      <c r="W114" s="1879"/>
      <c r="X114" s="923" t="str">
        <f t="shared" si="119"/>
        <v>ML Mission - Réception</v>
      </c>
      <c r="Y114" s="968">
        <f>BJ114*Z114</f>
        <v>717.29867506760615</v>
      </c>
      <c r="Z114" s="1113">
        <f>AA6/AR6</f>
        <v>0.71729867506760614</v>
      </c>
      <c r="AA114" s="1613"/>
      <c r="AB114" s="970">
        <f>BJ114*AC114</f>
        <v>263.97310251109275</v>
      </c>
      <c r="AC114" s="971">
        <f>AD6/AR6</f>
        <v>0.26397310251109274</v>
      </c>
      <c r="AD114" s="972"/>
      <c r="AE114" s="973">
        <f>BJ114*AF114</f>
        <v>18.728222421301073</v>
      </c>
      <c r="AF114" s="1095">
        <f>AG6/AR6</f>
        <v>1.8728222421301073E-2</v>
      </c>
      <c r="AG114" s="1096"/>
      <c r="AH114" s="976">
        <f>BJ114*AI114</f>
        <v>0</v>
      </c>
      <c r="AI114" s="1097">
        <f>AJ6/AR6</f>
        <v>0</v>
      </c>
      <c r="AJ114" s="1098"/>
      <c r="AK114" s="979">
        <f>BJ114*AL114</f>
        <v>0</v>
      </c>
      <c r="AL114" s="1099">
        <f>AM6/AR6</f>
        <v>0</v>
      </c>
      <c r="AM114" s="981"/>
      <c r="AN114" s="999"/>
      <c r="AO114" s="1000"/>
      <c r="AP114" s="1001"/>
      <c r="AQ114" s="985">
        <f t="shared" si="167"/>
        <v>1000</v>
      </c>
      <c r="AR114" s="736"/>
      <c r="AS114" s="1914"/>
      <c r="AT114" s="801" t="str">
        <f t="shared" si="169"/>
        <v>ML Mission - Réception</v>
      </c>
      <c r="AU114" s="1118"/>
      <c r="AV114" s="1119"/>
      <c r="AW114" s="1120"/>
      <c r="AX114" s="1000"/>
      <c r="AY114" s="1121"/>
      <c r="AZ114" s="1122"/>
      <c r="BA114" s="999"/>
      <c r="BB114" s="1123"/>
      <c r="BC114" s="1119"/>
      <c r="BD114" s="999"/>
      <c r="BE114" s="1000"/>
      <c r="BF114" s="1119"/>
      <c r="BG114" s="1188"/>
      <c r="BH114" s="1189"/>
      <c r="BI114" s="1262"/>
      <c r="BJ114" s="997">
        <v>1000</v>
      </c>
      <c r="BK114" s="1748"/>
      <c r="BL114" s="1681" t="e">
        <f>BH114+#REF!+U114</f>
        <v>#REF!</v>
      </c>
      <c r="BM114" s="879" t="s">
        <v>103</v>
      </c>
      <c r="BN114" s="1173">
        <f t="shared" si="127"/>
        <v>1000</v>
      </c>
      <c r="BO114" s="1594"/>
      <c r="BP114" s="1670">
        <f t="shared" si="123"/>
        <v>0</v>
      </c>
      <c r="BQ114" s="24"/>
      <c r="BR114" s="702"/>
      <c r="BV114" s="1244" t="s">
        <v>103</v>
      </c>
      <c r="BX114" s="24">
        <f t="shared" si="168"/>
        <v>1000</v>
      </c>
      <c r="BY114" s="24">
        <f t="shared" si="121"/>
        <v>0</v>
      </c>
      <c r="BZ114" s="15">
        <f t="shared" si="42"/>
        <v>0</v>
      </c>
    </row>
    <row r="115" spans="1:79" ht="22.5" customHeight="1">
      <c r="A115" s="1244" t="str">
        <f t="shared" si="120"/>
        <v>CBE - Mission Réception</v>
      </c>
      <c r="B115" s="999"/>
      <c r="C115" s="1121"/>
      <c r="D115" s="1119"/>
      <c r="E115" s="999"/>
      <c r="F115" s="1119"/>
      <c r="G115" s="999"/>
      <c r="H115" s="1000"/>
      <c r="I115" s="1001"/>
      <c r="J115" s="1717"/>
      <c r="K115" s="999"/>
      <c r="L115" s="1000"/>
      <c r="M115" s="1638"/>
      <c r="N115" s="999"/>
      <c r="O115" s="1000"/>
      <c r="P115" s="1638"/>
      <c r="Q115" s="999"/>
      <c r="R115" s="1000"/>
      <c r="S115" s="1128"/>
      <c r="T115" s="1129"/>
      <c r="U115" s="1130"/>
      <c r="V115" s="1248"/>
      <c r="W115" s="1879"/>
      <c r="X115" s="923" t="str">
        <f t="shared" ref="X115:X130" si="175">BM115</f>
        <v>CBE - Mission Réception</v>
      </c>
      <c r="Y115" s="1117"/>
      <c r="Z115" s="1115"/>
      <c r="AA115" s="1621"/>
      <c r="AB115" s="1118"/>
      <c r="AC115" s="1123"/>
      <c r="AD115" s="1001"/>
      <c r="AE115" s="999"/>
      <c r="AF115" s="1000"/>
      <c r="AG115" s="1001"/>
      <c r="AH115" s="999"/>
      <c r="AI115" s="1000"/>
      <c r="AJ115" s="1001"/>
      <c r="AK115" s="999"/>
      <c r="AL115" s="1000"/>
      <c r="AM115" s="1001"/>
      <c r="AN115" s="999"/>
      <c r="AO115" s="1000"/>
      <c r="AP115" s="1001"/>
      <c r="AQ115" s="1185"/>
      <c r="AR115" s="1172"/>
      <c r="AS115" s="1914"/>
      <c r="AT115" s="801" t="str">
        <f t="shared" ref="AT115:AT130" si="176">BM115</f>
        <v>CBE - Mission Réception</v>
      </c>
      <c r="AU115" s="737" t="e">
        <f>BJ115*#REF!</f>
        <v>#REF!</v>
      </c>
      <c r="AV115" s="1085">
        <f>$AV$6/$BL$6</f>
        <v>1.337139443022399E-2</v>
      </c>
      <c r="AW115" s="986">
        <f>BJ115*AX115</f>
        <v>0</v>
      </c>
      <c r="AX115" s="990">
        <f>AY6/BI6</f>
        <v>0</v>
      </c>
      <c r="AY115" s="1087"/>
      <c r="AZ115" s="1088"/>
      <c r="BA115" s="989">
        <f>BJ115*BB115</f>
        <v>146.23225505804791</v>
      </c>
      <c r="BB115" s="990">
        <f>BC6/BI6</f>
        <v>0.63579241329586045</v>
      </c>
      <c r="BC115" s="1089"/>
      <c r="BD115" s="992">
        <f>BJ115*BE115</f>
        <v>0</v>
      </c>
      <c r="BE115" s="1090">
        <f>BF6/BI6</f>
        <v>0</v>
      </c>
      <c r="BF115" s="1091"/>
      <c r="BG115" s="995" t="e">
        <f>AU115+BA115+BD115</f>
        <v>#REF!</v>
      </c>
      <c r="BH115" s="1269" t="e">
        <f>#REF!+BB115+BE115</f>
        <v>#REF!</v>
      </c>
      <c r="BI115" s="747"/>
      <c r="BJ115" s="997">
        <v>230</v>
      </c>
      <c r="BK115" s="1748"/>
      <c r="BL115" s="1681" t="e">
        <f>BH115+#REF!+U115</f>
        <v>#REF!</v>
      </c>
      <c r="BM115" s="879" t="s">
        <v>104</v>
      </c>
      <c r="BN115" s="1173" t="e">
        <f t="shared" si="127"/>
        <v>#REF!</v>
      </c>
      <c r="BO115" s="1594"/>
      <c r="BP115" s="1670" t="e">
        <f t="shared" si="123"/>
        <v>#REF!</v>
      </c>
      <c r="BQ115" s="24"/>
      <c r="BR115" s="702"/>
      <c r="BV115" s="1244" t="s">
        <v>104</v>
      </c>
      <c r="BX115" s="24" t="e">
        <f t="shared" si="168"/>
        <v>#REF!</v>
      </c>
      <c r="BY115" s="24" t="e">
        <f t="shared" si="121"/>
        <v>#REF!</v>
      </c>
      <c r="BZ115" s="15" t="e">
        <f t="shared" si="42"/>
        <v>#REF!</v>
      </c>
    </row>
    <row r="116" spans="1:79" ht="22.5" customHeight="1">
      <c r="A116" s="1244" t="str">
        <f t="shared" si="120"/>
        <v>MDE - Réception gpe DRH</v>
      </c>
      <c r="B116" s="705">
        <f t="shared" ref="B116:B122" si="177">BJ116*C116</f>
        <v>150</v>
      </c>
      <c r="C116" s="1072">
        <v>1</v>
      </c>
      <c r="D116" s="1073"/>
      <c r="E116" s="1101"/>
      <c r="F116" s="1103"/>
      <c r="G116" s="1101"/>
      <c r="H116" s="1108"/>
      <c r="I116" s="1109"/>
      <c r="J116" s="1713"/>
      <c r="K116" s="999"/>
      <c r="L116" s="1000"/>
      <c r="M116" s="1638"/>
      <c r="N116" s="999"/>
      <c r="O116" s="1000"/>
      <c r="P116" s="1638"/>
      <c r="Q116" s="1101"/>
      <c r="R116" s="1108"/>
      <c r="S116" s="1111"/>
      <c r="T116" s="715">
        <f t="shared" ref="T116:T122" si="178">B116+K116+N116+Q116</f>
        <v>150</v>
      </c>
      <c r="U116" s="1176">
        <f t="shared" ref="U116:U122" si="179">C116+L116+O116+R116</f>
        <v>1</v>
      </c>
      <c r="V116" s="1076"/>
      <c r="W116" s="1879"/>
      <c r="X116" s="923" t="str">
        <f t="shared" si="175"/>
        <v>MDE - Réception gpe DRH</v>
      </c>
      <c r="Y116" s="1117"/>
      <c r="Z116" s="1115"/>
      <c r="AA116" s="1621"/>
      <c r="AB116" s="1118"/>
      <c r="AC116" s="1123"/>
      <c r="AD116" s="1001"/>
      <c r="AE116" s="999"/>
      <c r="AF116" s="1000"/>
      <c r="AG116" s="1001"/>
      <c r="AH116" s="999"/>
      <c r="AI116" s="1000"/>
      <c r="AJ116" s="1001"/>
      <c r="AK116" s="999"/>
      <c r="AL116" s="1000"/>
      <c r="AM116" s="1001"/>
      <c r="AN116" s="999"/>
      <c r="AO116" s="1000"/>
      <c r="AP116" s="1001"/>
      <c r="AQ116" s="1185"/>
      <c r="AR116" s="1172"/>
      <c r="AS116" s="1914"/>
      <c r="AT116" s="801" t="str">
        <f t="shared" si="176"/>
        <v>MDE - Réception gpe DRH</v>
      </c>
      <c r="AU116" s="1118"/>
      <c r="AV116" s="1119"/>
      <c r="AW116" s="1120"/>
      <c r="AX116" s="1000"/>
      <c r="AY116" s="1121"/>
      <c r="AZ116" s="1122"/>
      <c r="BA116" s="999"/>
      <c r="BB116" s="1123"/>
      <c r="BC116" s="1119"/>
      <c r="BD116" s="999"/>
      <c r="BE116" s="1000"/>
      <c r="BF116" s="1119"/>
      <c r="BG116" s="1188"/>
      <c r="BH116" s="1189"/>
      <c r="BI116" s="1262"/>
      <c r="BJ116" s="997">
        <v>150</v>
      </c>
      <c r="BK116" s="1748"/>
      <c r="BL116" s="1681" t="e">
        <f>BH116+#REF!+U116</f>
        <v>#REF!</v>
      </c>
      <c r="BM116" s="879" t="s">
        <v>105</v>
      </c>
      <c r="BN116" s="1173">
        <f t="shared" si="127"/>
        <v>150</v>
      </c>
      <c r="BO116" s="1594"/>
      <c r="BP116" s="1670">
        <f t="shared" si="123"/>
        <v>0</v>
      </c>
      <c r="BQ116" s="24"/>
      <c r="BR116" s="702"/>
      <c r="BV116" s="1244" t="s">
        <v>105</v>
      </c>
      <c r="BX116" s="24">
        <f t="shared" si="168"/>
        <v>150</v>
      </c>
      <c r="BY116" s="24">
        <f t="shared" si="121"/>
        <v>0</v>
      </c>
      <c r="BZ116" s="15">
        <f t="shared" si="42"/>
        <v>0</v>
      </c>
    </row>
    <row r="117" spans="1:79" ht="22.5" customHeight="1">
      <c r="A117" s="1244" t="str">
        <f t="shared" si="120"/>
        <v>Frais Postaux</v>
      </c>
      <c r="B117" s="705">
        <f t="shared" si="177"/>
        <v>48.219928616717006</v>
      </c>
      <c r="C117" s="1072">
        <f>($D$6/$BL$6)</f>
        <v>1.6073309538905668E-2</v>
      </c>
      <c r="D117" s="1073"/>
      <c r="E117" s="705">
        <f>BJ117*F117</f>
        <v>0</v>
      </c>
      <c r="F117" s="1073">
        <f>$F$6/$BL$6</f>
        <v>0</v>
      </c>
      <c r="G117" s="705">
        <f t="shared" ref="G117:H122" si="180">E117+B117</f>
        <v>48.219928616717006</v>
      </c>
      <c r="H117" s="1074">
        <f t="shared" si="180"/>
        <v>1.6073309538905668E-2</v>
      </c>
      <c r="I117" s="1075"/>
      <c r="J117" s="1711"/>
      <c r="K117" s="711">
        <f t="shared" ref="K117:K122" si="181">BJ117*L117</f>
        <v>120.52695610810069</v>
      </c>
      <c r="L117" s="964">
        <f>$M$6/$BL$6</f>
        <v>4.0175652036033564E-2</v>
      </c>
      <c r="M117" s="1633"/>
      <c r="N117" s="713">
        <f t="shared" ref="N117:N122" si="182">BJ117*O117</f>
        <v>337.45293114809346</v>
      </c>
      <c r="O117" s="965">
        <f>$P$6/$BL$6</f>
        <v>0.11248431038269782</v>
      </c>
      <c r="P117" s="1650"/>
      <c r="Q117" s="1523">
        <f t="shared" ref="Q117:Q122" si="183">BJ117*R117</f>
        <v>124.60932963498976</v>
      </c>
      <c r="R117" s="1524">
        <f>($S$6/$BL$6)</f>
        <v>4.1536443211663256E-2</v>
      </c>
      <c r="S117" s="1529"/>
      <c r="T117" s="715">
        <f t="shared" si="178"/>
        <v>630.80914550790089</v>
      </c>
      <c r="U117" s="966">
        <f t="shared" si="179"/>
        <v>0.21026971516930029</v>
      </c>
      <c r="V117" s="1076"/>
      <c r="W117" s="1879"/>
      <c r="X117" s="923" t="str">
        <f t="shared" si="175"/>
        <v>Frais Postaux</v>
      </c>
      <c r="Y117" s="968">
        <f>BJ117*Z117</f>
        <v>1620.5501916261021</v>
      </c>
      <c r="Z117" s="1113">
        <f>$AA$6/($BL$6)</f>
        <v>0.54018339720870068</v>
      </c>
      <c r="AA117" s="1613"/>
      <c r="AB117" s="970">
        <f>BJ117*AC117</f>
        <v>596.37871465212049</v>
      </c>
      <c r="AC117" s="971">
        <f>$AD$6/($BL$6)</f>
        <v>0.19879290488404017</v>
      </c>
      <c r="AD117" s="972"/>
      <c r="AE117" s="973">
        <f>BJ117*AF117</f>
        <v>42.311557916644965</v>
      </c>
      <c r="AF117" s="1095">
        <f>$AG$6/($BL$6)</f>
        <v>1.4103852638881654E-2</v>
      </c>
      <c r="AG117" s="1096"/>
      <c r="AH117" s="976">
        <f>BJ117*AI117</f>
        <v>0</v>
      </c>
      <c r="AI117" s="1097">
        <f>$AJ$6/($BL$6)</f>
        <v>0</v>
      </c>
      <c r="AJ117" s="1098"/>
      <c r="AK117" s="979">
        <f>BJ117*AL117</f>
        <v>0</v>
      </c>
      <c r="AL117" s="1099">
        <f>$AM$6/($BL$6)</f>
        <v>0</v>
      </c>
      <c r="AM117" s="981"/>
      <c r="AN117" s="982">
        <f>BJ117*AO117</f>
        <v>26.025210782163494</v>
      </c>
      <c r="AO117" s="1100">
        <f>$AP$6/$AA$6</f>
        <v>8.6750702607211651E-3</v>
      </c>
      <c r="AP117" s="984"/>
      <c r="AQ117" s="985">
        <f t="shared" si="167"/>
        <v>2259.2404641948679</v>
      </c>
      <c r="AR117" s="736"/>
      <c r="AS117" s="1914"/>
      <c r="AT117" s="801" t="str">
        <f t="shared" si="176"/>
        <v>Frais Postaux</v>
      </c>
      <c r="AU117" s="737" t="e">
        <f>BJ117*#REF!</f>
        <v>#REF!</v>
      </c>
      <c r="AV117" s="1085">
        <f t="shared" ref="AV117:AV121" si="184">$AV$6/$BL$6</f>
        <v>1.337139443022399E-2</v>
      </c>
      <c r="AW117" s="986">
        <f>BJ117*AX117</f>
        <v>0</v>
      </c>
      <c r="AX117" s="1086">
        <f>$AY$6/($BL$6)</f>
        <v>0</v>
      </c>
      <c r="AY117" s="1087"/>
      <c r="AZ117" s="1088"/>
      <c r="BA117" s="989">
        <f>BJ117*BB117</f>
        <v>70.026804308409339</v>
      </c>
      <c r="BB117" s="990">
        <f>$BC$6/($BL$6)</f>
        <v>2.3342268102803113E-2</v>
      </c>
      <c r="BC117" s="1089"/>
      <c r="BD117" s="992">
        <f>BJ117*BE117</f>
        <v>0</v>
      </c>
      <c r="BE117" s="1090">
        <f>$BF$6/($BL$6)</f>
        <v>0</v>
      </c>
      <c r="BF117" s="1091"/>
      <c r="BG117" s="995" t="e">
        <f>AU117+BA117+BD117</f>
        <v>#REF!</v>
      </c>
      <c r="BH117" s="996" t="e">
        <f>#REF!+BB117+BE117</f>
        <v>#REF!</v>
      </c>
      <c r="BI117" s="747"/>
      <c r="BJ117" s="997">
        <v>3000</v>
      </c>
      <c r="BK117" s="1748"/>
      <c r="BL117" s="1681" t="e">
        <f>BH117+#REF!+U117</f>
        <v>#REF!</v>
      </c>
      <c r="BM117" s="879" t="s">
        <v>106</v>
      </c>
      <c r="BN117" s="1173" t="e">
        <f t="shared" si="127"/>
        <v>#REF!</v>
      </c>
      <c r="BO117" s="1594"/>
      <c r="BP117" s="1670" t="e">
        <f t="shared" si="123"/>
        <v>#REF!</v>
      </c>
      <c r="BQ117" s="24" t="e">
        <f>BD117+BA117+AW117+AU117+AN117+AK117+AH117+AE117+AB117+Y117+Q117+N117+K117+G117</f>
        <v>#REF!</v>
      </c>
      <c r="BR117" s="702" t="e">
        <f>BJ117-BQ117</f>
        <v>#REF!</v>
      </c>
      <c r="BV117" s="1244" t="s">
        <v>106</v>
      </c>
      <c r="BX117" s="24" t="e">
        <f t="shared" si="168"/>
        <v>#REF!</v>
      </c>
      <c r="BY117" s="24" t="e">
        <f t="shared" si="121"/>
        <v>#REF!</v>
      </c>
      <c r="BZ117" s="15" t="e">
        <f t="shared" si="42"/>
        <v>#REF!</v>
      </c>
    </row>
    <row r="118" spans="1:79" ht="22.5" customHeight="1">
      <c r="A118" s="1244" t="str">
        <f t="shared" si="120"/>
        <v xml:space="preserve">Frais de télécommunication </v>
      </c>
      <c r="B118" s="705">
        <f t="shared" si="177"/>
        <v>88.403202463981174</v>
      </c>
      <c r="C118" s="1072">
        <f>($D$6/$BL$6)</f>
        <v>1.6073309538905668E-2</v>
      </c>
      <c r="D118" s="1073"/>
      <c r="E118" s="705">
        <f>BJ118*F118</f>
        <v>0</v>
      </c>
      <c r="F118" s="1073">
        <f>$F$6/$BL$6</f>
        <v>0</v>
      </c>
      <c r="G118" s="705">
        <f t="shared" si="180"/>
        <v>88.403202463981174</v>
      </c>
      <c r="H118" s="1074">
        <f t="shared" si="180"/>
        <v>1.6073309538905668E-2</v>
      </c>
      <c r="I118" s="1075"/>
      <c r="J118" s="1711"/>
      <c r="K118" s="711">
        <f t="shared" si="181"/>
        <v>220.9660861981846</v>
      </c>
      <c r="L118" s="964">
        <f>$M$6/$BL$6</f>
        <v>4.0175652036033564E-2</v>
      </c>
      <c r="M118" s="1633"/>
      <c r="N118" s="713">
        <f t="shared" si="182"/>
        <v>618.66370710483807</v>
      </c>
      <c r="O118" s="965">
        <f>$P$6/$BL$6</f>
        <v>0.11248431038269782</v>
      </c>
      <c r="P118" s="1650"/>
      <c r="Q118" s="1523">
        <f t="shared" si="183"/>
        <v>228.4504376641479</v>
      </c>
      <c r="R118" s="1524">
        <f>($S$6/$BL$6)</f>
        <v>4.1536443211663256E-2</v>
      </c>
      <c r="S118" s="1529"/>
      <c r="T118" s="715">
        <f t="shared" si="178"/>
        <v>1156.4834334311518</v>
      </c>
      <c r="U118" s="966">
        <f t="shared" si="179"/>
        <v>0.21026971516930029</v>
      </c>
      <c r="V118" s="1076"/>
      <c r="W118" s="1879"/>
      <c r="X118" s="923" t="str">
        <f t="shared" si="175"/>
        <v xml:space="preserve">Frais de télécommunication </v>
      </c>
      <c r="Y118" s="968">
        <f>BJ118*Z118</f>
        <v>2971.0086846478539</v>
      </c>
      <c r="Z118" s="1113">
        <f>$AA$6/($BL$6)</f>
        <v>0.54018339720870068</v>
      </c>
      <c r="AA118" s="1613"/>
      <c r="AB118" s="970">
        <f>BJ118*AC118</f>
        <v>1093.3609768622209</v>
      </c>
      <c r="AC118" s="971">
        <f>$AD$6/($BL$6)</f>
        <v>0.19879290488404017</v>
      </c>
      <c r="AD118" s="972"/>
      <c r="AE118" s="973">
        <f>BJ118*AF118</f>
        <v>77.571189513849092</v>
      </c>
      <c r="AF118" s="1095">
        <f>$AG$6/($BL$6)</f>
        <v>1.4103852638881654E-2</v>
      </c>
      <c r="AG118" s="1096"/>
      <c r="AH118" s="976">
        <f>BJ118*AI118</f>
        <v>0</v>
      </c>
      <c r="AI118" s="1097">
        <f>$AJ$6/($BL$6)</f>
        <v>0</v>
      </c>
      <c r="AJ118" s="1098"/>
      <c r="AK118" s="979">
        <f>BJ118*AL118</f>
        <v>0</v>
      </c>
      <c r="AL118" s="1099">
        <f>$AM$6/($BL$6)</f>
        <v>0</v>
      </c>
      <c r="AM118" s="981"/>
      <c r="AN118" s="982">
        <f>BJ118*AO118</f>
        <v>47.71288643396641</v>
      </c>
      <c r="AO118" s="1100">
        <f>$AP$6/$AA$6</f>
        <v>8.6750702607211651E-3</v>
      </c>
      <c r="AP118" s="984"/>
      <c r="AQ118" s="985">
        <f t="shared" si="167"/>
        <v>4141.9408510239236</v>
      </c>
      <c r="AR118" s="736"/>
      <c r="AS118" s="1914"/>
      <c r="AT118" s="801" t="str">
        <f t="shared" si="176"/>
        <v xml:space="preserve">Frais de télécommunication </v>
      </c>
      <c r="AU118" s="737" t="e">
        <f>BJ118*#REF!</f>
        <v>#REF!</v>
      </c>
      <c r="AV118" s="1085">
        <f t="shared" si="184"/>
        <v>1.337139443022399E-2</v>
      </c>
      <c r="AW118" s="986">
        <f>BJ118*AX118</f>
        <v>0</v>
      </c>
      <c r="AX118" s="1086">
        <f>$AY$6/($BL$6)</f>
        <v>0</v>
      </c>
      <c r="AY118" s="1087"/>
      <c r="AZ118" s="1088"/>
      <c r="BA118" s="989">
        <f>BJ118*BB118</f>
        <v>128.38247456541711</v>
      </c>
      <c r="BB118" s="990">
        <f>$BC$6/($BL$6)</f>
        <v>2.3342268102803113E-2</v>
      </c>
      <c r="BC118" s="1089"/>
      <c r="BD118" s="992">
        <f>BJ118*BE118</f>
        <v>0</v>
      </c>
      <c r="BE118" s="1090">
        <f>$BF$6/($BL$6)</f>
        <v>0</v>
      </c>
      <c r="BF118" s="1091"/>
      <c r="BG118" s="995" t="e">
        <f>AU118+BA118+BD118</f>
        <v>#REF!</v>
      </c>
      <c r="BH118" s="996" t="e">
        <f>#REF!+BB118+BE118</f>
        <v>#REF!</v>
      </c>
      <c r="BI118" s="747"/>
      <c r="BJ118" s="997">
        <v>5500</v>
      </c>
      <c r="BK118" s="1748"/>
      <c r="BL118" s="1681" t="e">
        <f>BH118+#REF!+U118</f>
        <v>#REF!</v>
      </c>
      <c r="BM118" s="879" t="s">
        <v>107</v>
      </c>
      <c r="BN118" s="1173" t="e">
        <f t="shared" si="127"/>
        <v>#REF!</v>
      </c>
      <c r="BO118" s="1594"/>
      <c r="BP118" s="1670" t="e">
        <f t="shared" si="123"/>
        <v>#REF!</v>
      </c>
      <c r="BQ118" s="24" t="e">
        <f>BD118+BA118+AW118+AU118+AN118+AK118+AH118+AE118+AB118+Y118+Q118+N118+K118+G118</f>
        <v>#REF!</v>
      </c>
      <c r="BR118" s="702" t="e">
        <f>BJ118-BQ118</f>
        <v>#REF!</v>
      </c>
      <c r="BV118" s="1244" t="s">
        <v>107</v>
      </c>
      <c r="BX118" s="24" t="e">
        <f t="shared" si="168"/>
        <v>#REF!</v>
      </c>
      <c r="BY118" s="24" t="e">
        <f t="shared" si="121"/>
        <v>#REF!</v>
      </c>
      <c r="BZ118" s="15" t="e">
        <f t="shared" si="42"/>
        <v>#REF!</v>
      </c>
    </row>
    <row r="119" spans="1:79" ht="22.5" customHeight="1">
      <c r="A119" s="1244" t="str">
        <f t="shared" si="120"/>
        <v>Téléphone portable</v>
      </c>
      <c r="B119" s="705">
        <f t="shared" si="177"/>
        <v>6.4293238155622667</v>
      </c>
      <c r="C119" s="1072">
        <f>($D$6/$BL$6)</f>
        <v>1.6073309538905668E-2</v>
      </c>
      <c r="D119" s="1073"/>
      <c r="E119" s="705"/>
      <c r="F119" s="1073"/>
      <c r="G119" s="705"/>
      <c r="H119" s="1074"/>
      <c r="I119" s="1075"/>
      <c r="J119" s="1711"/>
      <c r="K119" s="711">
        <f t="shared" si="181"/>
        <v>16.070260814413427</v>
      </c>
      <c r="L119" s="964">
        <f>$M$6/$BL$6</f>
        <v>4.0175652036033564E-2</v>
      </c>
      <c r="M119" s="1633"/>
      <c r="N119" s="713">
        <f t="shared" si="182"/>
        <v>44.993724153079128</v>
      </c>
      <c r="O119" s="965">
        <f>$P$6/$BL$6</f>
        <v>0.11248431038269782</v>
      </c>
      <c r="P119" s="1650"/>
      <c r="Q119" s="1523">
        <f t="shared" si="183"/>
        <v>16.614577284665302</v>
      </c>
      <c r="R119" s="1524">
        <f>($S$6/$BL$6)</f>
        <v>4.1536443211663256E-2</v>
      </c>
      <c r="S119" s="1529"/>
      <c r="T119" s="715">
        <f t="shared" si="178"/>
        <v>84.107886067720131</v>
      </c>
      <c r="U119" s="966">
        <f t="shared" si="179"/>
        <v>0.21026971516930029</v>
      </c>
      <c r="V119" s="1076"/>
      <c r="W119" s="1879"/>
      <c r="X119" s="923" t="str">
        <f t="shared" si="175"/>
        <v>Téléphone portable</v>
      </c>
      <c r="Y119" s="968">
        <f>BJ119*Z119</f>
        <v>216.07335888348027</v>
      </c>
      <c r="Z119" s="1113">
        <f>$AA$6/($BL$6)</f>
        <v>0.54018339720870068</v>
      </c>
      <c r="AA119" s="1613"/>
      <c r="AB119" s="970">
        <f>BJ119*AC119</f>
        <v>79.517161953616068</v>
      </c>
      <c r="AC119" s="971">
        <f>$AD$6/($BL$6)</f>
        <v>0.19879290488404017</v>
      </c>
      <c r="AD119" s="972"/>
      <c r="AE119" s="973">
        <f>BJ119*AF119</f>
        <v>5.6415410555526613</v>
      </c>
      <c r="AF119" s="1095">
        <f>$AG$6/($BL$6)</f>
        <v>1.4103852638881654E-2</v>
      </c>
      <c r="AG119" s="1096"/>
      <c r="AH119" s="976">
        <f>BJ119*AI119</f>
        <v>0</v>
      </c>
      <c r="AI119" s="1097">
        <f>$AJ$6/($BL$6)</f>
        <v>0</v>
      </c>
      <c r="AJ119" s="1098"/>
      <c r="AK119" s="979"/>
      <c r="AL119" s="1099"/>
      <c r="AM119" s="981"/>
      <c r="AN119" s="982">
        <f>BJ119*AO119</f>
        <v>3.470028104288466</v>
      </c>
      <c r="AO119" s="1100">
        <f>$AP$6/$AA$6</f>
        <v>8.6750702607211651E-3</v>
      </c>
      <c r="AP119" s="984"/>
      <c r="AQ119" s="985">
        <f t="shared" si="167"/>
        <v>301.23206189264897</v>
      </c>
      <c r="AR119" s="736"/>
      <c r="AS119" s="1914"/>
      <c r="AT119" s="801" t="str">
        <f t="shared" si="176"/>
        <v>Téléphone portable</v>
      </c>
      <c r="AU119" s="737" t="e">
        <f>BJ119*#REF!</f>
        <v>#REF!</v>
      </c>
      <c r="AV119" s="1085">
        <f t="shared" si="184"/>
        <v>1.337139443022399E-2</v>
      </c>
      <c r="AW119" s="986"/>
      <c r="AX119" s="1086"/>
      <c r="AY119" s="1087"/>
      <c r="AZ119" s="1088"/>
      <c r="BA119" s="989">
        <f>BJ119*BB119</f>
        <v>9.3369072411212457</v>
      </c>
      <c r="BB119" s="990">
        <f>$BC$6/($BL$6)</f>
        <v>2.3342268102803113E-2</v>
      </c>
      <c r="BC119" s="1089"/>
      <c r="BD119" s="992">
        <f>BJ119*BE119</f>
        <v>0</v>
      </c>
      <c r="BE119" s="1090">
        <f>$BF$6/($BL$6)</f>
        <v>0</v>
      </c>
      <c r="BF119" s="1091"/>
      <c r="BG119" s="995" t="e">
        <f>AU119+BA119+BD119</f>
        <v>#REF!</v>
      </c>
      <c r="BH119" s="996" t="e">
        <f>#REF!+BB119+BE119</f>
        <v>#REF!</v>
      </c>
      <c r="BI119" s="747"/>
      <c r="BJ119" s="997">
        <v>400</v>
      </c>
      <c r="BK119" s="1748"/>
      <c r="BL119" s="1681" t="e">
        <f>BH119+#REF!+U119</f>
        <v>#REF!</v>
      </c>
      <c r="BM119" s="879" t="s">
        <v>108</v>
      </c>
      <c r="BN119" s="1173" t="e">
        <f t="shared" si="127"/>
        <v>#REF!</v>
      </c>
      <c r="BO119" s="1594"/>
      <c r="BP119" s="1670" t="e">
        <f t="shared" si="123"/>
        <v>#REF!</v>
      </c>
      <c r="BQ119" s="24"/>
      <c r="BR119" s="702"/>
      <c r="BV119" s="1244"/>
      <c r="BX119" s="24" t="e">
        <f t="shared" si="168"/>
        <v>#REF!</v>
      </c>
      <c r="BY119" s="24" t="e">
        <f t="shared" si="121"/>
        <v>#REF!</v>
      </c>
      <c r="BZ119" s="15" t="e">
        <f t="shared" si="42"/>
        <v>#REF!</v>
      </c>
    </row>
    <row r="120" spans="1:79" ht="22.5" customHeight="1">
      <c r="A120" s="1244" t="str">
        <f t="shared" si="120"/>
        <v>Services bancaires</v>
      </c>
      <c r="B120" s="705">
        <f t="shared" si="177"/>
        <v>3.9861807656486055</v>
      </c>
      <c r="C120" s="1072">
        <f>($D$6/$BL$6)</f>
        <v>1.6073309538905668E-2</v>
      </c>
      <c r="D120" s="1073"/>
      <c r="E120" s="705">
        <f>BJ120*F120</f>
        <v>0</v>
      </c>
      <c r="F120" s="1073">
        <f>$F$6/$BL$6</f>
        <v>0</v>
      </c>
      <c r="G120" s="705">
        <f t="shared" si="180"/>
        <v>3.9861807656486055</v>
      </c>
      <c r="H120" s="1074">
        <f t="shared" si="180"/>
        <v>1.6073309538905668E-2</v>
      </c>
      <c r="I120" s="1075"/>
      <c r="J120" s="1711"/>
      <c r="K120" s="711">
        <f t="shared" si="181"/>
        <v>9.9635617049363248</v>
      </c>
      <c r="L120" s="964">
        <f>$M$6/$BL$6</f>
        <v>4.0175652036033564E-2</v>
      </c>
      <c r="M120" s="1633"/>
      <c r="N120" s="713">
        <f t="shared" si="182"/>
        <v>27.896108974909058</v>
      </c>
      <c r="O120" s="965">
        <f>$P$6/$BL$6</f>
        <v>0.11248431038269782</v>
      </c>
      <c r="P120" s="1650"/>
      <c r="Q120" s="1523">
        <f t="shared" si="183"/>
        <v>10.301037916492488</v>
      </c>
      <c r="R120" s="1524">
        <f>($S$6/$BL$6)</f>
        <v>4.1536443211663256E-2</v>
      </c>
      <c r="S120" s="1529"/>
      <c r="T120" s="715">
        <f t="shared" si="178"/>
        <v>52.146889361986482</v>
      </c>
      <c r="U120" s="966">
        <f t="shared" si="179"/>
        <v>0.21026971516930029</v>
      </c>
      <c r="V120" s="1076"/>
      <c r="W120" s="1879"/>
      <c r="X120" s="923" t="str">
        <f t="shared" si="175"/>
        <v>Services bancaires</v>
      </c>
      <c r="Y120" s="968">
        <f>BJ120*Z120</f>
        <v>133.96548250775777</v>
      </c>
      <c r="Z120" s="1113">
        <f>$AA$6/($BL$6)</f>
        <v>0.54018339720870068</v>
      </c>
      <c r="AA120" s="1613"/>
      <c r="AB120" s="970">
        <f>BJ120*AC120</f>
        <v>49.300640411241965</v>
      </c>
      <c r="AC120" s="971">
        <f>$AD$6/($BL$6)</f>
        <v>0.19879290488404017</v>
      </c>
      <c r="AD120" s="972"/>
      <c r="AE120" s="973">
        <f>BJ120*AF120</f>
        <v>3.4977554544426503</v>
      </c>
      <c r="AF120" s="1095">
        <f>$AG$6/($BL$6)</f>
        <v>1.4103852638881654E-2</v>
      </c>
      <c r="AG120" s="1096"/>
      <c r="AH120" s="976">
        <f>BJ120*AI120</f>
        <v>0</v>
      </c>
      <c r="AI120" s="1097">
        <f>$AJ$6/($BL$6)</f>
        <v>0</v>
      </c>
      <c r="AJ120" s="1098"/>
      <c r="AK120" s="979">
        <f>BJ120*AL120</f>
        <v>0</v>
      </c>
      <c r="AL120" s="1099">
        <f>$AM$6/($BL$6)</f>
        <v>0</v>
      </c>
      <c r="AM120" s="981"/>
      <c r="AN120" s="982">
        <f>BJ120*AO120</f>
        <v>2.1514174246588489</v>
      </c>
      <c r="AO120" s="1100">
        <f>$AP$6/$AA$6</f>
        <v>8.6750702607211651E-3</v>
      </c>
      <c r="AP120" s="984"/>
      <c r="AQ120" s="985">
        <f t="shared" si="167"/>
        <v>186.7638783734424</v>
      </c>
      <c r="AR120" s="736"/>
      <c r="AS120" s="1914"/>
      <c r="AT120" s="801" t="str">
        <f t="shared" si="176"/>
        <v>Services bancaires</v>
      </c>
      <c r="AU120" s="737" t="e">
        <f>BJ120*#REF!</f>
        <v>#REF!</v>
      </c>
      <c r="AV120" s="1085">
        <f t="shared" si="184"/>
        <v>1.337139443022399E-2</v>
      </c>
      <c r="AW120" s="986">
        <f>BJ120*AX120</f>
        <v>0</v>
      </c>
      <c r="AX120" s="1086">
        <f>$AY$6/($BL$6)</f>
        <v>0</v>
      </c>
      <c r="AY120" s="1087"/>
      <c r="AZ120" s="1088"/>
      <c r="BA120" s="989">
        <f>BJ120*BB120</f>
        <v>5.7888824894951716</v>
      </c>
      <c r="BB120" s="990">
        <f>$BC$6/($BL$6)</f>
        <v>2.3342268102803113E-2</v>
      </c>
      <c r="BC120" s="1089"/>
      <c r="BD120" s="992">
        <f>BJ120*BE120</f>
        <v>0</v>
      </c>
      <c r="BE120" s="1090">
        <f>$BF$6/($BL$6)</f>
        <v>0</v>
      </c>
      <c r="BF120" s="1091"/>
      <c r="BG120" s="995" t="e">
        <f>AU120+BA120+BD120</f>
        <v>#REF!</v>
      </c>
      <c r="BH120" s="996" t="e">
        <f>#REF!+BB120+BE120</f>
        <v>#REF!</v>
      </c>
      <c r="BI120" s="747"/>
      <c r="BJ120" s="997">
        <v>248</v>
      </c>
      <c r="BK120" s="1748"/>
      <c r="BL120" s="1681" t="e">
        <f>BH120+#REF!+U120</f>
        <v>#REF!</v>
      </c>
      <c r="BM120" s="879" t="s">
        <v>109</v>
      </c>
      <c r="BN120" s="1173" t="e">
        <f t="shared" si="127"/>
        <v>#REF!</v>
      </c>
      <c r="BO120" s="1594"/>
      <c r="BP120" s="1670" t="e">
        <f t="shared" si="123"/>
        <v>#REF!</v>
      </c>
      <c r="BQ120" s="24" t="e">
        <f>BD120+BA120+AW120+AU120+AN120+AK120+AH120+AE120+AB120+Y120+Q120+N120+K120+G120</f>
        <v>#REF!</v>
      </c>
      <c r="BR120" s="702" t="e">
        <f>BJ120-BQ120</f>
        <v>#REF!</v>
      </c>
      <c r="BV120" s="1244" t="s">
        <v>109</v>
      </c>
      <c r="BX120" s="24" t="e">
        <f t="shared" si="168"/>
        <v>#REF!</v>
      </c>
      <c r="BY120" s="24" t="e">
        <f t="shared" si="121"/>
        <v>#REF!</v>
      </c>
      <c r="BZ120" s="15" t="e">
        <f t="shared" si="42"/>
        <v>#REF!</v>
      </c>
    </row>
    <row r="121" spans="1:79" ht="22.5" customHeight="1">
      <c r="A121" s="1244" t="str">
        <f t="shared" si="120"/>
        <v>MEF Cotisations diverses</v>
      </c>
      <c r="B121" s="705">
        <f t="shared" si="177"/>
        <v>2.2502633354467934</v>
      </c>
      <c r="C121" s="1072">
        <f>($D$6/$BL$6)</f>
        <v>1.6073309538905668E-2</v>
      </c>
      <c r="D121" s="1073"/>
      <c r="E121" s="705">
        <f>BJ121*F121</f>
        <v>0</v>
      </c>
      <c r="F121" s="1073">
        <f>$F$6/$BL$6</f>
        <v>0</v>
      </c>
      <c r="G121" s="705">
        <f t="shared" si="180"/>
        <v>2.2502633354467934</v>
      </c>
      <c r="H121" s="1074">
        <f t="shared" si="180"/>
        <v>1.6073309538905668E-2</v>
      </c>
      <c r="I121" s="1075"/>
      <c r="J121" s="1711"/>
      <c r="K121" s="711">
        <f t="shared" si="181"/>
        <v>5.6245912850446986</v>
      </c>
      <c r="L121" s="964">
        <f>$M$6/$BL$6</f>
        <v>4.0175652036033564E-2</v>
      </c>
      <c r="M121" s="1633"/>
      <c r="N121" s="713">
        <f t="shared" si="182"/>
        <v>15.747803453577696</v>
      </c>
      <c r="O121" s="965">
        <f>$P$6/$BL$6</f>
        <v>0.11248431038269782</v>
      </c>
      <c r="P121" s="1650"/>
      <c r="Q121" s="1523">
        <f t="shared" si="183"/>
        <v>5.8151020496328556</v>
      </c>
      <c r="R121" s="1524">
        <f>($S$6/$BL$6)</f>
        <v>4.1536443211663256E-2</v>
      </c>
      <c r="S121" s="1529"/>
      <c r="T121" s="715">
        <f t="shared" si="178"/>
        <v>29.437760123702041</v>
      </c>
      <c r="U121" s="966">
        <f t="shared" si="179"/>
        <v>0.21026971516930029</v>
      </c>
      <c r="V121" s="1076"/>
      <c r="W121" s="1879"/>
      <c r="X121" s="923" t="str">
        <f t="shared" si="175"/>
        <v>MEF Cotisations diverses</v>
      </c>
      <c r="Y121" s="968">
        <f>BJ121*Z121</f>
        <v>75.625675609218092</v>
      </c>
      <c r="Z121" s="1113">
        <f>$AA$6/($BL$6)</f>
        <v>0.54018339720870068</v>
      </c>
      <c r="AA121" s="1613"/>
      <c r="AB121" s="970">
        <f>BJ121*AC121</f>
        <v>27.831006683765622</v>
      </c>
      <c r="AC121" s="971">
        <f>$AD$6/($BL$6)</f>
        <v>0.19879290488404017</v>
      </c>
      <c r="AD121" s="972"/>
      <c r="AE121" s="973">
        <f>BJ121*AF121</f>
        <v>1.9745393694434317</v>
      </c>
      <c r="AF121" s="1095">
        <f>$AG$6/($BL$6)</f>
        <v>1.4103852638881654E-2</v>
      </c>
      <c r="AG121" s="1096"/>
      <c r="AH121" s="976">
        <f>BJ121*AI121</f>
        <v>0</v>
      </c>
      <c r="AI121" s="1097">
        <f>$AJ$6/($BL$6)</f>
        <v>0</v>
      </c>
      <c r="AJ121" s="1098"/>
      <c r="AK121" s="979">
        <f>BJ121*AL121</f>
        <v>0</v>
      </c>
      <c r="AL121" s="1099">
        <f>$AM$6/($BL$6)</f>
        <v>0</v>
      </c>
      <c r="AM121" s="981"/>
      <c r="AN121" s="982">
        <f>BJ121*AO121</f>
        <v>1.2145098365009632</v>
      </c>
      <c r="AO121" s="1100">
        <f>$AP$6/$AA$6</f>
        <v>8.6750702607211651E-3</v>
      </c>
      <c r="AP121" s="984"/>
      <c r="AQ121" s="985">
        <f t="shared" si="167"/>
        <v>105.43122166242715</v>
      </c>
      <c r="AR121" s="736"/>
      <c r="AS121" s="1914"/>
      <c r="AT121" s="801" t="str">
        <f t="shared" si="176"/>
        <v>MEF Cotisations diverses</v>
      </c>
      <c r="AU121" s="737" t="e">
        <f>BJ121*#REF!</f>
        <v>#REF!</v>
      </c>
      <c r="AV121" s="1085">
        <f t="shared" si="184"/>
        <v>1.337139443022399E-2</v>
      </c>
      <c r="AW121" s="986">
        <f>BJ121*AX121</f>
        <v>0</v>
      </c>
      <c r="AX121" s="1086">
        <f>$AY$6/($BL$6)</f>
        <v>0</v>
      </c>
      <c r="AY121" s="1087"/>
      <c r="AZ121" s="1088"/>
      <c r="BA121" s="989">
        <f>BJ121*BB121</f>
        <v>3.2679175343924358</v>
      </c>
      <c r="BB121" s="990">
        <f>$BC$6/($BL$6)</f>
        <v>2.3342268102803113E-2</v>
      </c>
      <c r="BC121" s="1089"/>
      <c r="BD121" s="992">
        <f>BJ121*BE121</f>
        <v>0</v>
      </c>
      <c r="BE121" s="1090">
        <f>$BF$6/($BL$6)</f>
        <v>0</v>
      </c>
      <c r="BF121" s="1091"/>
      <c r="BG121" s="995" t="e">
        <f>AU121+BA121+BD121</f>
        <v>#REF!</v>
      </c>
      <c r="BH121" s="996" t="e">
        <f>#REF!+BB121+BE121</f>
        <v>#REF!</v>
      </c>
      <c r="BI121" s="747"/>
      <c r="BJ121" s="997">
        <v>140</v>
      </c>
      <c r="BK121" s="1748"/>
      <c r="BL121" s="1681" t="e">
        <f>BH121+#REF!+U121</f>
        <v>#REF!</v>
      </c>
      <c r="BM121" s="879" t="s">
        <v>110</v>
      </c>
      <c r="BN121" s="1173" t="e">
        <f t="shared" si="127"/>
        <v>#REF!</v>
      </c>
      <c r="BO121" s="1594"/>
      <c r="BP121" s="1670" t="e">
        <f t="shared" si="123"/>
        <v>#REF!</v>
      </c>
      <c r="BQ121" s="24" t="e">
        <f>BD121+BA121+AW121+AU121+AN121+AK121+AH121+AE121+AB121+Y121+Q121+N121+K121+G121</f>
        <v>#REF!</v>
      </c>
      <c r="BR121" s="702" t="e">
        <f>BJ121-BQ121</f>
        <v>#REF!</v>
      </c>
      <c r="BV121" s="1244" t="s">
        <v>110</v>
      </c>
      <c r="BX121" s="24" t="e">
        <f t="shared" si="168"/>
        <v>#REF!</v>
      </c>
      <c r="BY121" s="24" t="e">
        <f t="shared" si="121"/>
        <v>#REF!</v>
      </c>
      <c r="BZ121" s="15" t="e">
        <f t="shared" si="42"/>
        <v>#REF!</v>
      </c>
    </row>
    <row r="122" spans="1:79" ht="22.5" customHeight="1">
      <c r="A122" s="1244" t="str">
        <f t="shared" si="120"/>
        <v>MDE Cotisations diverses</v>
      </c>
      <c r="B122" s="705">
        <f t="shared" si="177"/>
        <v>64.975182455873394</v>
      </c>
      <c r="C122" s="1072">
        <f>($D$6/$V$6)</f>
        <v>7.6441391124556932E-2</v>
      </c>
      <c r="D122" s="1073"/>
      <c r="E122" s="705">
        <f>BJ122*F122</f>
        <v>0</v>
      </c>
      <c r="F122" s="1073">
        <f>$F$6/$V$6</f>
        <v>0</v>
      </c>
      <c r="G122" s="705">
        <f t="shared" si="180"/>
        <v>64.975182455873394</v>
      </c>
      <c r="H122" s="1074">
        <f t="shared" si="180"/>
        <v>7.6441391124556932E-2</v>
      </c>
      <c r="I122" s="1075"/>
      <c r="J122" s="1711"/>
      <c r="K122" s="711">
        <f t="shared" si="181"/>
        <v>162.4071455232293</v>
      </c>
      <c r="L122" s="964">
        <f>$M$6/($V$6)</f>
        <v>0.19106723002732859</v>
      </c>
      <c r="M122" s="1633"/>
      <c r="N122" s="713">
        <f t="shared" si="182"/>
        <v>454.70962733891878</v>
      </c>
      <c r="O122" s="965">
        <f>$P$6/($V$6)</f>
        <v>0.53495250275166917</v>
      </c>
      <c r="P122" s="1650"/>
      <c r="Q122" s="1523">
        <f t="shared" si="183"/>
        <v>167.90804468197848</v>
      </c>
      <c r="R122" s="1524">
        <f>$S$6/($V$6)</f>
        <v>0.19753887609644527</v>
      </c>
      <c r="S122" s="1529"/>
      <c r="T122" s="715">
        <f t="shared" si="178"/>
        <v>850</v>
      </c>
      <c r="U122" s="1176">
        <f t="shared" si="179"/>
        <v>0.99999999999999989</v>
      </c>
      <c r="V122" s="1076"/>
      <c r="W122" s="1879"/>
      <c r="X122" s="923" t="str">
        <f t="shared" si="175"/>
        <v>MDE Cotisations diverses</v>
      </c>
      <c r="Y122" s="999"/>
      <c r="Z122" s="1000"/>
      <c r="AA122" s="1616"/>
      <c r="AB122" s="1118"/>
      <c r="AC122" s="1123"/>
      <c r="AD122" s="1001"/>
      <c r="AE122" s="999"/>
      <c r="AF122" s="1000"/>
      <c r="AG122" s="1001"/>
      <c r="AH122" s="999"/>
      <c r="AI122" s="1000"/>
      <c r="AJ122" s="1001"/>
      <c r="AK122" s="999"/>
      <c r="AL122" s="1000"/>
      <c r="AM122" s="1001"/>
      <c r="AN122" s="999"/>
      <c r="AO122" s="1000"/>
      <c r="AP122" s="1001"/>
      <c r="AQ122" s="1185"/>
      <c r="AR122" s="1172"/>
      <c r="AS122" s="1914"/>
      <c r="AT122" s="801" t="str">
        <f t="shared" si="176"/>
        <v>MDE Cotisations diverses</v>
      </c>
      <c r="AU122" s="1118"/>
      <c r="AV122" s="1119"/>
      <c r="AW122" s="1120"/>
      <c r="AX122" s="1000"/>
      <c r="AY122" s="1121"/>
      <c r="AZ122" s="1122"/>
      <c r="BA122" s="999"/>
      <c r="BB122" s="1123"/>
      <c r="BC122" s="1119"/>
      <c r="BD122" s="999"/>
      <c r="BE122" s="1000"/>
      <c r="BF122" s="1119"/>
      <c r="BG122" s="1188"/>
      <c r="BH122" s="1189"/>
      <c r="BI122" s="1262"/>
      <c r="BJ122" s="997">
        <v>850</v>
      </c>
      <c r="BK122" s="1748"/>
      <c r="BL122" s="1681" t="e">
        <f>BH122+#REF!+U122</f>
        <v>#REF!</v>
      </c>
      <c r="BM122" s="879" t="s">
        <v>111</v>
      </c>
      <c r="BN122" s="1173">
        <f t="shared" si="127"/>
        <v>850</v>
      </c>
      <c r="BO122" s="1594"/>
      <c r="BP122" s="1670">
        <f t="shared" si="123"/>
        <v>0</v>
      </c>
      <c r="BQ122" s="24"/>
      <c r="BR122" s="702"/>
      <c r="BV122" s="1244" t="s">
        <v>111</v>
      </c>
      <c r="BX122" s="24">
        <f t="shared" si="168"/>
        <v>850</v>
      </c>
      <c r="BY122" s="24">
        <f t="shared" si="121"/>
        <v>0</v>
      </c>
      <c r="BZ122" s="15">
        <f t="shared" si="42"/>
        <v>0</v>
      </c>
    </row>
    <row r="123" spans="1:79" ht="22.5" customHeight="1" thickBot="1">
      <c r="A123" s="1272" t="str">
        <f t="shared" si="120"/>
        <v>ML Cotisations diverses</v>
      </c>
      <c r="B123" s="1273"/>
      <c r="C123" s="1274"/>
      <c r="D123" s="1275"/>
      <c r="E123" s="1273"/>
      <c r="F123" s="1275"/>
      <c r="G123" s="1276"/>
      <c r="H123" s="1277"/>
      <c r="I123" s="1278"/>
      <c r="J123" s="1718"/>
      <c r="K123" s="1273"/>
      <c r="L123" s="1277"/>
      <c r="M123" s="1641"/>
      <c r="N123" s="1273"/>
      <c r="O123" s="1277"/>
      <c r="P123" s="1641"/>
      <c r="Q123" s="1273"/>
      <c r="R123" s="1277"/>
      <c r="S123" s="1279"/>
      <c r="T123" s="1273"/>
      <c r="U123" s="1277"/>
      <c r="V123" s="1280"/>
      <c r="W123" s="1879"/>
      <c r="X123" s="1010" t="str">
        <f t="shared" si="175"/>
        <v>ML Cotisations diverses</v>
      </c>
      <c r="Y123" s="1011">
        <f>BJ123*Z123</f>
        <v>1147.6778801081698</v>
      </c>
      <c r="Z123" s="1281">
        <f>AA6/AR6</f>
        <v>0.71729867506760614</v>
      </c>
      <c r="AA123" s="1622"/>
      <c r="AB123" s="1013">
        <f>BJ123*AC123</f>
        <v>422.3569640177484</v>
      </c>
      <c r="AC123" s="1014">
        <f>AD6/AR6</f>
        <v>0.26397310251109274</v>
      </c>
      <c r="AD123" s="1015"/>
      <c r="AE123" s="1016">
        <f>BJ123*AF123</f>
        <v>29.965155874081717</v>
      </c>
      <c r="AF123" s="1282">
        <f>AG6/AR6</f>
        <v>1.8728222421301073E-2</v>
      </c>
      <c r="AG123" s="1283"/>
      <c r="AH123" s="1019">
        <f>BJ123*AI123</f>
        <v>0</v>
      </c>
      <c r="AI123" s="1284">
        <f>AJ6/AR6</f>
        <v>0</v>
      </c>
      <c r="AJ123" s="1285"/>
      <c r="AK123" s="1022">
        <f>BJ123*AL123</f>
        <v>0</v>
      </c>
      <c r="AL123" s="1286">
        <f>AM6/AR6</f>
        <v>0</v>
      </c>
      <c r="AM123" s="1024"/>
      <c r="AN123" s="999"/>
      <c r="AO123" s="1000"/>
      <c r="AP123" s="1001"/>
      <c r="AQ123" s="1028">
        <f>AK123+AH123+AE123+AB123+Y123</f>
        <v>1600</v>
      </c>
      <c r="AR123" s="780"/>
      <c r="AS123" s="1914"/>
      <c r="AT123" s="1029" t="str">
        <f t="shared" si="176"/>
        <v>ML Cotisations diverses</v>
      </c>
      <c r="AU123" s="1136"/>
      <c r="AV123" s="1137"/>
      <c r="AW123" s="1120"/>
      <c r="AX123" s="1000"/>
      <c r="AY123" s="1121"/>
      <c r="AZ123" s="1138"/>
      <c r="BA123" s="1131"/>
      <c r="BB123" s="1139"/>
      <c r="BC123" s="1137"/>
      <c r="BD123" s="1131"/>
      <c r="BE123" s="1132"/>
      <c r="BF123" s="1137"/>
      <c r="BG123" s="1140"/>
      <c r="BH123" s="1141"/>
      <c r="BI123" s="1142"/>
      <c r="BJ123" s="1042">
        <v>1600</v>
      </c>
      <c r="BK123" s="1749"/>
      <c r="BL123" s="1682" t="e">
        <f>BH123+#REF!+U123</f>
        <v>#REF!</v>
      </c>
      <c r="BM123" s="879" t="s">
        <v>112</v>
      </c>
      <c r="BN123" s="1173">
        <f t="shared" si="127"/>
        <v>1600</v>
      </c>
      <c r="BO123" s="1594"/>
      <c r="BP123" s="1673">
        <f t="shared" si="123"/>
        <v>0</v>
      </c>
      <c r="BQ123" s="24"/>
      <c r="BR123" s="702"/>
      <c r="BV123" s="1272" t="s">
        <v>112</v>
      </c>
      <c r="BX123" s="24">
        <f t="shared" si="168"/>
        <v>1600</v>
      </c>
      <c r="BY123" s="24">
        <f t="shared" si="121"/>
        <v>0</v>
      </c>
      <c r="BZ123" s="15">
        <f t="shared" si="42"/>
        <v>0</v>
      </c>
    </row>
    <row r="124" spans="1:79" ht="28.5" thickTop="1" thickBot="1">
      <c r="A124" s="623" t="str">
        <f t="shared" si="120"/>
        <v>Impôts et taxes</v>
      </c>
      <c r="B124" s="624">
        <f>SUM(B125:B126)</f>
        <v>0</v>
      </c>
      <c r="C124" s="1287"/>
      <c r="D124" s="1288"/>
      <c r="E124" s="624">
        <f>SUM(E125:E126)</f>
        <v>0</v>
      </c>
      <c r="F124" s="1289"/>
      <c r="G124" s="624">
        <f>SUM(G125:G126)</f>
        <v>0</v>
      </c>
      <c r="H124" s="1290"/>
      <c r="I124" s="1291" t="s">
        <v>41</v>
      </c>
      <c r="J124" s="1719"/>
      <c r="K124" s="624">
        <f>SUM(K125:K126)</f>
        <v>0</v>
      </c>
      <c r="L124" s="1290"/>
      <c r="M124" s="1642" t="s">
        <v>41</v>
      </c>
      <c r="N124" s="624">
        <f>SUM(N125:N126)</f>
        <v>0</v>
      </c>
      <c r="O124" s="1290"/>
      <c r="P124" s="1642" t="s">
        <v>41</v>
      </c>
      <c r="Q124" s="624">
        <f>SUM(Q125:Q126)</f>
        <v>0</v>
      </c>
      <c r="R124" s="1290"/>
      <c r="S124" s="1291" t="s">
        <v>41</v>
      </c>
      <c r="T124" s="1051">
        <f>SUM(T125:T126)</f>
        <v>0</v>
      </c>
      <c r="U124" s="1209"/>
      <c r="V124" s="1053"/>
      <c r="W124" s="1879"/>
      <c r="X124" s="1292" t="str">
        <f t="shared" si="175"/>
        <v>Impôts et taxes</v>
      </c>
      <c r="Y124" s="1203">
        <f>SUM(Y125:Y126)</f>
        <v>500</v>
      </c>
      <c r="Z124" s="1293"/>
      <c r="AA124" s="1623"/>
      <c r="AB124" s="1294">
        <f>SUM(AB125:AB126)</f>
        <v>0</v>
      </c>
      <c r="AC124" s="1295"/>
      <c r="AD124" s="1208"/>
      <c r="AE124" s="1203">
        <f>SUM(AE125:AE126)</f>
        <v>0</v>
      </c>
      <c r="AF124" s="1293"/>
      <c r="AG124" s="1208"/>
      <c r="AH124" s="1203">
        <f>SUM(AH125:AH126)</f>
        <v>0</v>
      </c>
      <c r="AI124" s="1293"/>
      <c r="AJ124" s="1208"/>
      <c r="AK124" s="1296">
        <f>SUM(AK125:AK126)</f>
        <v>0</v>
      </c>
      <c r="AL124" s="1293"/>
      <c r="AM124" s="1208"/>
      <c r="AN124" s="1066">
        <f>SUM(AN125:AN126)</f>
        <v>0</v>
      </c>
      <c r="AO124" s="1146"/>
      <c r="AP124" s="1297"/>
      <c r="AQ124" s="1066">
        <f>SUM(AQ125:AQ126)</f>
        <v>500</v>
      </c>
      <c r="AR124" s="1210"/>
      <c r="AS124" s="1914"/>
      <c r="AT124" s="644" t="str">
        <f t="shared" si="176"/>
        <v>Impôts et taxes</v>
      </c>
      <c r="AU124" s="631" t="e">
        <f>SUM(AU125:AU126)</f>
        <v>#REF!</v>
      </c>
      <c r="AV124" s="637" t="s">
        <v>46</v>
      </c>
      <c r="AW124" s="1298">
        <f>SUM(AW125:AW126)</f>
        <v>0</v>
      </c>
      <c r="AX124" s="1299"/>
      <c r="AY124" s="1300" t="s">
        <v>46</v>
      </c>
      <c r="AZ124" s="637"/>
      <c r="BA124" s="631">
        <f>SUM(BA125:BA126)</f>
        <v>0</v>
      </c>
      <c r="BB124" s="906"/>
      <c r="BC124" s="637" t="s">
        <v>46</v>
      </c>
      <c r="BD124" s="631">
        <f>SUM(BD125:BD126)</f>
        <v>0</v>
      </c>
      <c r="BE124" s="906"/>
      <c r="BF124" s="637" t="s">
        <v>46</v>
      </c>
      <c r="BG124" s="631">
        <f>SUM(BG125:BG126)</f>
        <v>0</v>
      </c>
      <c r="BH124" s="906"/>
      <c r="BI124" s="1301"/>
      <c r="BJ124" s="1302">
        <f>SUM(BJ125:BJ126)</f>
        <v>500</v>
      </c>
      <c r="BK124" s="1756"/>
      <c r="BL124" s="1689"/>
      <c r="BM124" s="1303" t="s">
        <v>113</v>
      </c>
      <c r="BN124" s="1173">
        <f t="shared" si="127"/>
        <v>500</v>
      </c>
      <c r="BO124" s="1595"/>
      <c r="BP124" s="1671"/>
      <c r="BQ124" s="24" t="e">
        <f>BD124+BA124+AW124+AU124+AN124+AK124+AH124+AE124+AB124+Y124+Q124+N124+K124+G124</f>
        <v>#REF!</v>
      </c>
      <c r="BR124" s="702" t="e">
        <f>BJ124-BQ124</f>
        <v>#REF!</v>
      </c>
      <c r="BS124" s="1243"/>
      <c r="BT124" s="1243"/>
      <c r="BU124" s="1243"/>
      <c r="BV124" s="1304" t="str">
        <f t="shared" ref="BV124:BV130" si="185">AT124</f>
        <v>Impôts et taxes</v>
      </c>
      <c r="BX124" s="24" t="e">
        <f t="shared" si="168"/>
        <v>#REF!</v>
      </c>
      <c r="BY124" s="24" t="e">
        <f t="shared" si="121"/>
        <v>#REF!</v>
      </c>
      <c r="BZ124" s="15" t="e">
        <f t="shared" si="42"/>
        <v>#REF!</v>
      </c>
    </row>
    <row r="125" spans="1:79" ht="34.5" customHeight="1">
      <c r="A125" s="1305" t="str">
        <f t="shared" si="120"/>
        <v>Taxes diverses - URSSAF PMSMP</v>
      </c>
      <c r="B125" s="999"/>
      <c r="C125" s="1121"/>
      <c r="D125" s="1119"/>
      <c r="E125" s="999"/>
      <c r="F125" s="1119"/>
      <c r="G125" s="999"/>
      <c r="H125" s="1000"/>
      <c r="I125" s="1001"/>
      <c r="J125" s="1717"/>
      <c r="K125" s="999"/>
      <c r="L125" s="1000"/>
      <c r="M125" s="1638"/>
      <c r="N125" s="999"/>
      <c r="O125" s="1000"/>
      <c r="P125" s="1638"/>
      <c r="Q125" s="999"/>
      <c r="R125" s="1000"/>
      <c r="S125" s="1128"/>
      <c r="T125" s="1129"/>
      <c r="U125" s="1130"/>
      <c r="V125" s="1248"/>
      <c r="W125" s="1879"/>
      <c r="X125" s="923" t="str">
        <f t="shared" si="175"/>
        <v>Taxes diverses - URSSAF PMSMP</v>
      </c>
      <c r="Y125" s="1077">
        <f>BJ125*Z125</f>
        <v>500</v>
      </c>
      <c r="Z125" s="1078">
        <v>1</v>
      </c>
      <c r="AA125" s="1611"/>
      <c r="AB125" s="1118"/>
      <c r="AC125" s="1123"/>
      <c r="AD125" s="1001"/>
      <c r="AE125" s="999"/>
      <c r="AF125" s="1000"/>
      <c r="AG125" s="1001"/>
      <c r="AH125" s="999"/>
      <c r="AI125" s="1000"/>
      <c r="AJ125" s="1001"/>
      <c r="AK125" s="999"/>
      <c r="AL125" s="1000"/>
      <c r="AM125" s="1001"/>
      <c r="AN125" s="999"/>
      <c r="AO125" s="1000"/>
      <c r="AP125" s="1001"/>
      <c r="AQ125" s="1306">
        <f>Y125+AB125+AE125+AH125+AK125</f>
        <v>500</v>
      </c>
      <c r="AR125" s="1307"/>
      <c r="AS125" s="1914"/>
      <c r="AT125" s="942" t="str">
        <f t="shared" si="176"/>
        <v>Taxes diverses - URSSAF PMSMP</v>
      </c>
      <c r="AU125" s="1118"/>
      <c r="AV125" s="1119"/>
      <c r="AW125" s="1120"/>
      <c r="AX125" s="1000"/>
      <c r="AY125" s="1121"/>
      <c r="AZ125" s="1122"/>
      <c r="BA125" s="999"/>
      <c r="BB125" s="1123"/>
      <c r="BC125" s="1119"/>
      <c r="BD125" s="999"/>
      <c r="BE125" s="1000"/>
      <c r="BF125" s="1119"/>
      <c r="BG125" s="1188"/>
      <c r="BH125" s="1189"/>
      <c r="BI125" s="1262"/>
      <c r="BJ125" s="956">
        <v>500</v>
      </c>
      <c r="BK125" s="1747"/>
      <c r="BL125" s="1693" t="e">
        <f>BH125+#REF!+U125</f>
        <v>#REF!</v>
      </c>
      <c r="BM125" s="1043" t="s">
        <v>114</v>
      </c>
      <c r="BN125" s="1173">
        <f t="shared" si="127"/>
        <v>500</v>
      </c>
      <c r="BO125" s="1596"/>
      <c r="BP125" s="1672">
        <f t="shared" ref="BP125:BP131" si="186">BJ125-BN125</f>
        <v>0</v>
      </c>
      <c r="BQ125" s="24">
        <f>BD125+BA125+AW125+AU125+AN125+AK125+AH125+AE125+AB125+Y125+Q125+N125+K125+G125</f>
        <v>500</v>
      </c>
      <c r="BR125" s="702">
        <f>BJ125-BQ125</f>
        <v>0</v>
      </c>
      <c r="BV125" s="1308" t="str">
        <f t="shared" si="185"/>
        <v>Taxes diverses - URSSAF PMSMP</v>
      </c>
      <c r="BX125" s="24">
        <f t="shared" si="168"/>
        <v>500</v>
      </c>
      <c r="BY125" s="24">
        <f t="shared" si="121"/>
        <v>0</v>
      </c>
      <c r="BZ125" s="15">
        <f t="shared" ref="BZ125:BZ131" si="187">BN125-BX125</f>
        <v>0</v>
      </c>
    </row>
    <row r="126" spans="1:79" ht="27.75" thickBot="1">
      <c r="A126" s="1309" t="str">
        <f t="shared" si="120"/>
        <v>Formation Continue</v>
      </c>
      <c r="B126" s="751">
        <f>BJ126*C126</f>
        <v>0</v>
      </c>
      <c r="C126" s="1310">
        <f>($D$6/$BL$6)</f>
        <v>1.6073309538905668E-2</v>
      </c>
      <c r="D126" s="1311"/>
      <c r="E126" s="751">
        <f>BJ126*F126</f>
        <v>0</v>
      </c>
      <c r="F126" s="1311">
        <f>$F$6/$BL$6</f>
        <v>0</v>
      </c>
      <c r="G126" s="751">
        <f>E126+B126</f>
        <v>0</v>
      </c>
      <c r="H126" s="1312">
        <f>F126+C126</f>
        <v>1.6073309538905668E-2</v>
      </c>
      <c r="I126" s="1313"/>
      <c r="J126" s="1720"/>
      <c r="K126" s="756">
        <f>BJ126*L126</f>
        <v>0</v>
      </c>
      <c r="L126" s="1006">
        <f>$M$6/$BL$6</f>
        <v>4.0175652036033564E-2</v>
      </c>
      <c r="M126" s="1634"/>
      <c r="N126" s="758">
        <f>BJ126*O126</f>
        <v>0</v>
      </c>
      <c r="O126" s="1007">
        <f>$P$6/$BL$6</f>
        <v>0.11248431038269782</v>
      </c>
      <c r="P126" s="1651"/>
      <c r="Q126" s="1526">
        <f>BJ126*R126</f>
        <v>0</v>
      </c>
      <c r="R126" s="1527">
        <f>($S$6/$BL$6)</f>
        <v>4.1536443211663256E-2</v>
      </c>
      <c r="S126" s="1533"/>
      <c r="T126" s="760">
        <f t="shared" ref="T126" si="188">B126+K126+N126+Q126</f>
        <v>0</v>
      </c>
      <c r="U126" s="1008">
        <f>C126+L126+O126+R126</f>
        <v>0.21026971516930029</v>
      </c>
      <c r="V126" s="1314"/>
      <c r="W126" s="1879"/>
      <c r="X126" s="923" t="str">
        <f t="shared" si="175"/>
        <v>Formation Continue</v>
      </c>
      <c r="Y126" s="1011">
        <f>BJ126*Z126</f>
        <v>0</v>
      </c>
      <c r="Z126" s="1315">
        <f>$AA$6/($BL$6)</f>
        <v>0.54018339720870068</v>
      </c>
      <c r="AA126" s="1624"/>
      <c r="AB126" s="1013">
        <f>BJ126*AC126</f>
        <v>0</v>
      </c>
      <c r="AC126" s="1014">
        <f>$AD$6/($BL$6)</f>
        <v>0.19879290488404017</v>
      </c>
      <c r="AD126" s="1015"/>
      <c r="AE126" s="1316">
        <f>BJ126*AF126</f>
        <v>0</v>
      </c>
      <c r="AF126" s="1282">
        <f>$AG$6/($BL$6)</f>
        <v>1.4103852638881654E-2</v>
      </c>
      <c r="AG126" s="1283"/>
      <c r="AH126" s="1317">
        <f>BJ126*AI126</f>
        <v>0</v>
      </c>
      <c r="AI126" s="1284">
        <f>$AJ$6/($BL$6)</f>
        <v>0</v>
      </c>
      <c r="AJ126" s="1285"/>
      <c r="AK126" s="1022">
        <f>BJ126*AL126</f>
        <v>0</v>
      </c>
      <c r="AL126" s="1286">
        <f>$AM$6/($BL$6)</f>
        <v>0</v>
      </c>
      <c r="AM126" s="1024"/>
      <c r="AN126" s="1025">
        <f>BJ126*AO126</f>
        <v>0</v>
      </c>
      <c r="AO126" s="1318">
        <f>$AP$6/$AA$6</f>
        <v>8.6750702607211651E-3</v>
      </c>
      <c r="AP126" s="1027"/>
      <c r="AQ126" s="1319">
        <f>Y126+AB126+AE126+AH126+AK126</f>
        <v>0</v>
      </c>
      <c r="AR126" s="1320"/>
      <c r="AS126" s="1914"/>
      <c r="AT126" s="1029" t="str">
        <f t="shared" si="176"/>
        <v>Formation Continue</v>
      </c>
      <c r="AU126" s="781" t="e">
        <f>BJ126*#REF!</f>
        <v>#REF!</v>
      </c>
      <c r="AV126" s="1321">
        <f>$AV$6/$BL$6</f>
        <v>1.337139443022399E-2</v>
      </c>
      <c r="AW126" s="1322">
        <f>BJ126*AX126</f>
        <v>0</v>
      </c>
      <c r="AX126" s="1323">
        <f>$AY$6/($BL$6)</f>
        <v>0</v>
      </c>
      <c r="AY126" s="1324"/>
      <c r="AZ126" s="1325"/>
      <c r="BA126" s="1034">
        <f>BJ126*BB126</f>
        <v>0</v>
      </c>
      <c r="BB126" s="1035">
        <f>$BC$6/($BL$6)</f>
        <v>2.3342268102803113E-2</v>
      </c>
      <c r="BC126" s="1326"/>
      <c r="BD126" s="1037">
        <f>BJ126*BE126</f>
        <v>0</v>
      </c>
      <c r="BE126" s="1327">
        <f>$BF$6/($BL$6)</f>
        <v>0</v>
      </c>
      <c r="BF126" s="1328"/>
      <c r="BG126" s="1329"/>
      <c r="BH126" s="1041" t="e">
        <f>#REF!+BB126+BE126</f>
        <v>#REF!</v>
      </c>
      <c r="BI126" s="792"/>
      <c r="BJ126" s="1042">
        <v>0</v>
      </c>
      <c r="BK126" s="1749"/>
      <c r="BL126" s="1682" t="e">
        <f>BH126+#REF!+U126</f>
        <v>#REF!</v>
      </c>
      <c r="BM126" s="1330" t="s">
        <v>27</v>
      </c>
      <c r="BN126" s="1173">
        <f t="shared" si="127"/>
        <v>0</v>
      </c>
      <c r="BO126" s="1596"/>
      <c r="BP126" s="1673">
        <f t="shared" si="186"/>
        <v>0</v>
      </c>
      <c r="BQ126" s="24" t="e">
        <f>BD126+BA126+AW126+AU126+AN126+AK126+AH126+AE126+AB126+Y126+Q126+N126+K126+G126</f>
        <v>#REF!</v>
      </c>
      <c r="BR126" s="702" t="e">
        <f>BJ126-BQ126</f>
        <v>#REF!</v>
      </c>
      <c r="BV126" s="1331" t="str">
        <f t="shared" si="185"/>
        <v>Formation Continue</v>
      </c>
      <c r="BX126" s="24" t="e">
        <f t="shared" si="168"/>
        <v>#REF!</v>
      </c>
      <c r="BY126" s="24" t="e">
        <f t="shared" ref="BY126:BY131" si="189">BJ126-BX126</f>
        <v>#REF!</v>
      </c>
      <c r="BZ126" s="15" t="e">
        <f t="shared" si="187"/>
        <v>#REF!</v>
      </c>
    </row>
    <row r="127" spans="1:79" ht="28.5" thickTop="1" thickBot="1">
      <c r="A127" s="623" t="str">
        <f t="shared" si="120"/>
        <v>Dotation</v>
      </c>
      <c r="B127" s="1203">
        <f>SUM(B128:B130)</f>
        <v>115.72782868012081</v>
      </c>
      <c r="C127" s="1332"/>
      <c r="D127" s="1333"/>
      <c r="E127" s="1203">
        <f>SUM(E128:E130)</f>
        <v>0</v>
      </c>
      <c r="F127" s="1334"/>
      <c r="G127" s="1203">
        <f>E127+B127</f>
        <v>115.72782868012081</v>
      </c>
      <c r="H127" s="1335"/>
      <c r="I127" s="1208" t="s">
        <v>41</v>
      </c>
      <c r="J127" s="1715"/>
      <c r="K127" s="1203">
        <f>SUM(K128:K130)</f>
        <v>289.26469465944166</v>
      </c>
      <c r="L127" s="1335"/>
      <c r="M127" s="1643" t="s">
        <v>41</v>
      </c>
      <c r="N127" s="1203">
        <f>SUM(N128:N130)</f>
        <v>809.88703475542422</v>
      </c>
      <c r="O127" s="1335"/>
      <c r="P127" s="1643" t="s">
        <v>41</v>
      </c>
      <c r="Q127" s="1047">
        <f>SUM(Q128:Q130)</f>
        <v>299.06239112397543</v>
      </c>
      <c r="R127" s="1050"/>
      <c r="S127" s="901" t="s">
        <v>41</v>
      </c>
      <c r="T127" s="1051">
        <f>SUM(T128:T130)</f>
        <v>1513.9419492189622</v>
      </c>
      <c r="U127" s="1209"/>
      <c r="V127" s="1053"/>
      <c r="W127" s="1879"/>
      <c r="X127" s="1292" t="str">
        <f t="shared" si="175"/>
        <v>Dotation</v>
      </c>
      <c r="Y127" s="1203">
        <f>SUM(Y128:Y130)</f>
        <v>3889.3204599026449</v>
      </c>
      <c r="Z127" s="1293"/>
      <c r="AA127" s="1623"/>
      <c r="AB127" s="1294">
        <f>SUM(AB128:AB130)</f>
        <v>39831.308915165086</v>
      </c>
      <c r="AC127" s="1295"/>
      <c r="AD127" s="1208"/>
      <c r="AE127" s="1203">
        <f>SUM(AE128:AE130)</f>
        <v>101.54773899994791</v>
      </c>
      <c r="AF127" s="1293"/>
      <c r="AG127" s="1208"/>
      <c r="AH127" s="1203">
        <f>SUM(AH128:AH130)</f>
        <v>0</v>
      </c>
      <c r="AI127" s="1293"/>
      <c r="AJ127" s="1208"/>
      <c r="AK127" s="1296">
        <f>SUM(AK128:AK130)</f>
        <v>0</v>
      </c>
      <c r="AL127" s="1293"/>
      <c r="AM127" s="1208"/>
      <c r="AN127" s="1336" t="e">
        <f>SUM(AN128:AN130)</f>
        <v>#REF!</v>
      </c>
      <c r="AO127" s="1337"/>
      <c r="AP127" s="1208"/>
      <c r="AQ127" s="1203">
        <f>SUM(AQ128:AQ130)</f>
        <v>43822.177114067679</v>
      </c>
      <c r="AR127" s="1338"/>
      <c r="AS127" s="1914"/>
      <c r="AT127" s="644" t="str">
        <f t="shared" si="176"/>
        <v>Dotation</v>
      </c>
      <c r="AU127" s="631" t="e">
        <f>SUM(AU128:AU130)</f>
        <v>#REF!</v>
      </c>
      <c r="AV127" s="637"/>
      <c r="AW127" s="1298">
        <f>SUM(AW128:AW130)</f>
        <v>0</v>
      </c>
      <c r="AX127" s="1299"/>
      <c r="AY127" s="1300"/>
      <c r="AZ127" s="637"/>
      <c r="BA127" s="631">
        <f>SUM(BA128:BA130)</f>
        <v>168.06433034018241</v>
      </c>
      <c r="BB127" s="906"/>
      <c r="BC127" s="637"/>
      <c r="BD127" s="631">
        <f>SUM(BD128:BD130)</f>
        <v>0</v>
      </c>
      <c r="BE127" s="906"/>
      <c r="BF127" s="637"/>
      <c r="BG127" s="631" t="e">
        <f>SUM(BG128:BG130)</f>
        <v>#REF!</v>
      </c>
      <c r="BH127" s="906"/>
      <c r="BI127" s="637"/>
      <c r="BJ127" s="1302">
        <f>SUM(BJ128:BJ130)</f>
        <v>45600</v>
      </c>
      <c r="BK127" s="1756"/>
      <c r="BL127" s="1689"/>
      <c r="BM127" s="908" t="s">
        <v>115</v>
      </c>
      <c r="BN127" s="1339" t="e">
        <f t="shared" si="127"/>
        <v>#REF!</v>
      </c>
      <c r="BO127" s="1597"/>
      <c r="BP127" s="1671" t="e">
        <f t="shared" si="186"/>
        <v>#REF!</v>
      </c>
      <c r="BQ127" s="24"/>
      <c r="BR127" s="702"/>
      <c r="BV127" s="1304" t="str">
        <f t="shared" si="185"/>
        <v>Dotation</v>
      </c>
      <c r="BX127" s="911" t="e">
        <f t="shared" si="168"/>
        <v>#REF!</v>
      </c>
      <c r="BY127" s="912" t="e">
        <f t="shared" si="189"/>
        <v>#REF!</v>
      </c>
      <c r="BZ127" s="913" t="e">
        <f t="shared" si="187"/>
        <v>#REF!</v>
      </c>
      <c r="CA127" s="914"/>
    </row>
    <row r="128" spans="1:79" ht="27.75" thickBot="1">
      <c r="A128" s="1340" t="str">
        <f t="shared" si="120"/>
        <v>Dot Amort s/immo</v>
      </c>
      <c r="B128" s="657">
        <f>BJ128*C128</f>
        <v>3.2146619077811334</v>
      </c>
      <c r="C128" s="1219">
        <f>($D$6/$BL$6)</f>
        <v>1.6073309538905668E-2</v>
      </c>
      <c r="D128" s="1220"/>
      <c r="E128" s="657">
        <f>BJ128*F128</f>
        <v>0</v>
      </c>
      <c r="F128" s="1220">
        <f>$F$6/$BL$6</f>
        <v>0</v>
      </c>
      <c r="G128" s="657">
        <f>E128+B128</f>
        <v>3.2146619077811334</v>
      </c>
      <c r="H128" s="1221">
        <f>F128+C128</f>
        <v>1.6073309538905668E-2</v>
      </c>
      <c r="I128" s="1222"/>
      <c r="J128" s="1716"/>
      <c r="K128" s="662">
        <f>BJ128*L128</f>
        <v>8.0351304072067133</v>
      </c>
      <c r="L128" s="919">
        <f>$M$6/$BL$6</f>
        <v>4.0175652036033564E-2</v>
      </c>
      <c r="M128" s="1632"/>
      <c r="N128" s="664">
        <f>BJ128*O128</f>
        <v>22.496862076539564</v>
      </c>
      <c r="O128" s="920">
        <f>$P$6/$BL$6</f>
        <v>0.11248431038269782</v>
      </c>
      <c r="P128" s="1649"/>
      <c r="Q128" s="1534">
        <f>BJ128*R128</f>
        <v>8.3072886423326509</v>
      </c>
      <c r="R128" s="1535">
        <f>($S$6/$BL$6)</f>
        <v>4.1536443211663256E-2</v>
      </c>
      <c r="S128" s="1536"/>
      <c r="T128" s="666">
        <f t="shared" ref="T128:T130" si="190">B128+K128+N128+Q128</f>
        <v>42.053943033860065</v>
      </c>
      <c r="U128" s="921">
        <f>C128+L128+O128+R128</f>
        <v>0.21026971516930029</v>
      </c>
      <c r="V128" s="1341"/>
      <c r="W128" s="1879"/>
      <c r="X128" s="923" t="str">
        <f t="shared" si="175"/>
        <v>Dot Amort s/immo</v>
      </c>
      <c r="Y128" s="924">
        <f>BJ128*Z128</f>
        <v>108.03667944174013</v>
      </c>
      <c r="Z128" s="1342">
        <f>$AA$6/($BL$6)</f>
        <v>0.54018339720870068</v>
      </c>
      <c r="AA128" s="1619"/>
      <c r="AB128" s="926">
        <f>BJ128*AC128</f>
        <v>39.758580976808034</v>
      </c>
      <c r="AC128" s="927">
        <f>$AD$6/($BL$6)</f>
        <v>0.19879290488404017</v>
      </c>
      <c r="AD128" s="928"/>
      <c r="AE128" s="929">
        <f>BJ128*AF128</f>
        <v>2.8207705277763306</v>
      </c>
      <c r="AF128" s="1079">
        <f>$AG$6/($BL$6)</f>
        <v>1.4103852638881654E-2</v>
      </c>
      <c r="AG128" s="1080"/>
      <c r="AH128" s="932">
        <f>BJ128*AI128</f>
        <v>0</v>
      </c>
      <c r="AI128" s="1081">
        <f>$AJ$6/($BL$6)</f>
        <v>0</v>
      </c>
      <c r="AJ128" s="1082"/>
      <c r="AK128" s="1227">
        <f>BJ128*AL128</f>
        <v>0</v>
      </c>
      <c r="AL128" s="1083">
        <f>$AM$6/($BL$6)</f>
        <v>0</v>
      </c>
      <c r="AM128" s="937"/>
      <c r="AN128" s="938" t="e">
        <f>BN128*AO128</f>
        <v>#REF!</v>
      </c>
      <c r="AO128" s="939">
        <f>$AP$6/$AA$6</f>
        <v>8.6750702607211651E-3</v>
      </c>
      <c r="AP128" s="940"/>
      <c r="AQ128" s="941">
        <f t="shared" ref="AQ128:AQ130" si="191">AK128+AH128+AE128+AB128+Y128</f>
        <v>150.61603094632449</v>
      </c>
      <c r="AR128" s="687"/>
      <c r="AS128" s="1914"/>
      <c r="AT128" s="942" t="str">
        <f t="shared" si="176"/>
        <v>Dot Amort s/immo</v>
      </c>
      <c r="AU128" s="1230" t="e">
        <f>BJ128*#REF!</f>
        <v>#REF!</v>
      </c>
      <c r="AV128" s="1343">
        <f t="shared" ref="AV128:AV130" si="192">$AV$6/$BL$6</f>
        <v>1.337139443022399E-2</v>
      </c>
      <c r="AW128" s="1344">
        <f>BJ128*AX128</f>
        <v>0</v>
      </c>
      <c r="AX128" s="1345">
        <f>$AY$6/($BL$6)</f>
        <v>0</v>
      </c>
      <c r="AY128" s="1346"/>
      <c r="AZ128" s="1347"/>
      <c r="BA128" s="948">
        <f>BJ128*BB128</f>
        <v>4.6684536205606229</v>
      </c>
      <c r="BB128" s="949">
        <f>$BC$6/($BL$6)</f>
        <v>2.3342268102803113E-2</v>
      </c>
      <c r="BC128" s="1348"/>
      <c r="BD128" s="951">
        <f>BJ128*BE128</f>
        <v>0</v>
      </c>
      <c r="BE128" s="1349">
        <f>$BF$6/($BL$6)</f>
        <v>0</v>
      </c>
      <c r="BF128" s="1350"/>
      <c r="BG128" s="995" t="e">
        <f>AU128+BA128+BD128</f>
        <v>#REF!</v>
      </c>
      <c r="BH128" s="996" t="e">
        <f>#REF!+BB128+BE128</f>
        <v>#REF!</v>
      </c>
      <c r="BI128" s="747"/>
      <c r="BJ128" s="956">
        <v>200</v>
      </c>
      <c r="BK128" s="1747"/>
      <c r="BL128" s="1693" t="e">
        <f>BH128+#REF!+U128</f>
        <v>#REF!</v>
      </c>
      <c r="BM128" s="1353" t="s">
        <v>116</v>
      </c>
      <c r="BN128" s="1173" t="e">
        <f t="shared" si="127"/>
        <v>#REF!</v>
      </c>
      <c r="BO128" s="1598"/>
      <c r="BP128" s="1672" t="e">
        <f t="shared" si="186"/>
        <v>#REF!</v>
      </c>
      <c r="BQ128" s="24"/>
      <c r="BR128" s="702"/>
      <c r="BV128" s="1340" t="str">
        <f t="shared" si="185"/>
        <v>Dot Amort s/immo</v>
      </c>
      <c r="BX128" s="24" t="e">
        <f t="shared" si="168"/>
        <v>#REF!</v>
      </c>
      <c r="BY128" s="24" t="e">
        <f t="shared" si="189"/>
        <v>#REF!</v>
      </c>
      <c r="BZ128" s="15" t="e">
        <f t="shared" si="187"/>
        <v>#REF!</v>
      </c>
    </row>
    <row r="129" spans="1:107" ht="30" customHeight="1">
      <c r="A129" s="1354" t="str">
        <f t="shared" si="120"/>
        <v>Dot provisions pour risques et charges d'exploitation / GJ</v>
      </c>
      <c r="B129" s="999"/>
      <c r="C129" s="1121"/>
      <c r="D129" s="1119"/>
      <c r="E129" s="999"/>
      <c r="F129" s="1119"/>
      <c r="G129" s="999"/>
      <c r="H129" s="1000"/>
      <c r="I129" s="1001"/>
      <c r="J129" s="1717"/>
      <c r="K129" s="999"/>
      <c r="L129" s="1000"/>
      <c r="M129" s="1638"/>
      <c r="N129" s="999"/>
      <c r="O129" s="1000"/>
      <c r="P129" s="1638"/>
      <c r="Q129" s="999"/>
      <c r="R129" s="1000"/>
      <c r="S129" s="1128"/>
      <c r="T129" s="1129"/>
      <c r="U129" s="1130"/>
      <c r="V129" s="1248"/>
      <c r="W129" s="1879"/>
      <c r="X129" s="923" t="str">
        <f t="shared" si="175"/>
        <v>Dot provisions pour risques et charges d'exploitation / GJ</v>
      </c>
      <c r="Y129" s="1355"/>
      <c r="Z129" s="1356"/>
      <c r="AA129" s="1625"/>
      <c r="AB129" s="970">
        <f>BJ129*AC129</f>
        <v>38400</v>
      </c>
      <c r="AC129" s="971">
        <v>1</v>
      </c>
      <c r="AD129" s="972"/>
      <c r="AE129" s="973"/>
      <c r="AF129" s="1095"/>
      <c r="AG129" s="1096"/>
      <c r="AH129" s="976"/>
      <c r="AI129" s="1097"/>
      <c r="AJ129" s="1098"/>
      <c r="AK129" s="979"/>
      <c r="AL129" s="1099"/>
      <c r="AM129" s="981"/>
      <c r="AN129" s="982"/>
      <c r="AO129" s="1100"/>
      <c r="AP129" s="984"/>
      <c r="AQ129" s="985">
        <f t="shared" si="191"/>
        <v>38400</v>
      </c>
      <c r="AR129" s="736"/>
      <c r="AS129" s="1914"/>
      <c r="AT129" s="899" t="str">
        <f t="shared" si="176"/>
        <v>Dot provisions pour risques et charges d'exploitation / GJ</v>
      </c>
      <c r="AU129" s="1357"/>
      <c r="AV129" s="1358">
        <f t="shared" si="192"/>
        <v>1.337139443022399E-2</v>
      </c>
      <c r="AW129" s="1030"/>
      <c r="AX129" s="1359"/>
      <c r="AY129" s="1360"/>
      <c r="AZ129" s="1361"/>
      <c r="BA129" s="1362"/>
      <c r="BB129" s="1363"/>
      <c r="BC129" s="1364"/>
      <c r="BD129" s="1365"/>
      <c r="BE129" s="1366"/>
      <c r="BF129" s="1367"/>
      <c r="BG129" s="995"/>
      <c r="BH129" s="996"/>
      <c r="BI129" s="747"/>
      <c r="BJ129" s="997">
        <f>(1600*0.2)*(120)</f>
        <v>38400</v>
      </c>
      <c r="BK129" s="1748"/>
      <c r="BL129" s="1681" t="e">
        <f>BH129+#REF!+U129</f>
        <v>#REF!</v>
      </c>
      <c r="BM129" s="1353" t="s">
        <v>117</v>
      </c>
      <c r="BN129" s="1173">
        <f t="shared" si="127"/>
        <v>38400</v>
      </c>
      <c r="BO129" s="1598"/>
      <c r="BP129" s="1672">
        <f t="shared" ref="BP129" si="193">BJ129-BN129</f>
        <v>0</v>
      </c>
      <c r="BQ129" s="24"/>
      <c r="BR129" s="702"/>
      <c r="BV129" s="1340" t="str">
        <f t="shared" si="185"/>
        <v>Dot provisions pour risques et charges d'exploitation / GJ</v>
      </c>
      <c r="BX129" s="24">
        <f t="shared" si="168"/>
        <v>38400</v>
      </c>
      <c r="BY129" s="24">
        <f t="shared" ref="BY129" si="194">BJ129-BX129</f>
        <v>0</v>
      </c>
      <c r="BZ129" s="15">
        <f t="shared" si="187"/>
        <v>0</v>
      </c>
    </row>
    <row r="130" spans="1:107" s="1373" customFormat="1" ht="43.5" customHeight="1" thickBot="1">
      <c r="A130" s="1331" t="str">
        <f t="shared" si="120"/>
        <v>Dot prov ind fin de c</v>
      </c>
      <c r="B130" s="751">
        <f>BJ130*C130</f>
        <v>112.51316677233967</v>
      </c>
      <c r="C130" s="1310">
        <f>($D$6/$BL$6)</f>
        <v>1.6073309538905668E-2</v>
      </c>
      <c r="D130" s="1311"/>
      <c r="E130" s="751">
        <f>BJ130*F130</f>
        <v>0</v>
      </c>
      <c r="F130" s="1311">
        <f>$F$6/$BL$6</f>
        <v>0</v>
      </c>
      <c r="G130" s="751">
        <f>E130+B130</f>
        <v>112.51316677233967</v>
      </c>
      <c r="H130" s="1312">
        <f>F130+C130</f>
        <v>1.6073309538905668E-2</v>
      </c>
      <c r="I130" s="1313"/>
      <c r="J130" s="1720"/>
      <c r="K130" s="756">
        <f>BJ130*L130</f>
        <v>281.22956425223492</v>
      </c>
      <c r="L130" s="1006">
        <f>$M$6/$BL$6</f>
        <v>4.0175652036033564E-2</v>
      </c>
      <c r="M130" s="1634"/>
      <c r="N130" s="758">
        <f>BJ130*O130</f>
        <v>787.39017267888471</v>
      </c>
      <c r="O130" s="1007">
        <f>$P$6/$BL$6</f>
        <v>0.11248431038269782</v>
      </c>
      <c r="P130" s="1651"/>
      <c r="Q130" s="1537">
        <f>BJ130*R130</f>
        <v>290.75510248164278</v>
      </c>
      <c r="R130" s="1538">
        <f>($S$6/$BL$6)</f>
        <v>4.1536443211663256E-2</v>
      </c>
      <c r="S130" s="1539"/>
      <c r="T130" s="760">
        <f t="shared" si="190"/>
        <v>1471.8880061851021</v>
      </c>
      <c r="U130" s="1008">
        <f>C130+L130+O130+R130</f>
        <v>0.21026971516930029</v>
      </c>
      <c r="V130" s="1314"/>
      <c r="W130" s="1879"/>
      <c r="X130" s="923" t="str">
        <f t="shared" si="175"/>
        <v>Dot prov ind fin de c</v>
      </c>
      <c r="Y130" s="1011">
        <f>BJ130*Z130</f>
        <v>3781.2837804609048</v>
      </c>
      <c r="Z130" s="1281">
        <f>$AA$6/($BL$6)</f>
        <v>0.54018339720870068</v>
      </c>
      <c r="AA130" s="1626"/>
      <c r="AB130" s="1013">
        <f>BJ130*AC130</f>
        <v>1391.5503341882811</v>
      </c>
      <c r="AC130" s="1014">
        <f>$AD$6/($BL$6)</f>
        <v>0.19879290488404017</v>
      </c>
      <c r="AD130" s="1368"/>
      <c r="AE130" s="1316">
        <f>BJ130*AF130</f>
        <v>98.726968472171578</v>
      </c>
      <c r="AF130" s="1282">
        <f>$AG$6/($BL$6)</f>
        <v>1.4103852638881654E-2</v>
      </c>
      <c r="AG130" s="1369"/>
      <c r="AH130" s="1317">
        <f>BJ130*AI130</f>
        <v>0</v>
      </c>
      <c r="AI130" s="1284">
        <f>$AJ$6/($BL$6)</f>
        <v>0</v>
      </c>
      <c r="AJ130" s="1370"/>
      <c r="AK130" s="1022">
        <f>BJ130*AL130</f>
        <v>0</v>
      </c>
      <c r="AL130" s="1286">
        <f>$AM$6/($BL$6)</f>
        <v>0</v>
      </c>
      <c r="AM130" s="1371"/>
      <c r="AN130" s="1025" t="e">
        <f>BN130*AO130</f>
        <v>#REF!</v>
      </c>
      <c r="AO130" s="1026">
        <f>$AP$6/$AA$6</f>
        <v>8.6750702607211651E-3</v>
      </c>
      <c r="AP130" s="1027"/>
      <c r="AQ130" s="1028">
        <f t="shared" si="191"/>
        <v>5271.561083121358</v>
      </c>
      <c r="AR130" s="1372"/>
      <c r="AS130" s="1914"/>
      <c r="AT130" s="1029" t="str">
        <f t="shared" si="176"/>
        <v>Dot prov ind fin de c</v>
      </c>
      <c r="AU130" s="781" t="e">
        <f>BJ130*#REF!</f>
        <v>#REF!</v>
      </c>
      <c r="AV130" s="1321">
        <f t="shared" si="192"/>
        <v>1.337139443022399E-2</v>
      </c>
      <c r="AW130" s="1322">
        <f>BJ130*AX130</f>
        <v>0</v>
      </c>
      <c r="AX130" s="1323">
        <f>$AY$6/($BL$6)</f>
        <v>0</v>
      </c>
      <c r="AY130" s="1324"/>
      <c r="AZ130" s="1325"/>
      <c r="BA130" s="1034">
        <f>BJ130*BB130</f>
        <v>163.39587671962178</v>
      </c>
      <c r="BB130" s="1035">
        <f>$BC$6/($BL$6)</f>
        <v>2.3342268102803113E-2</v>
      </c>
      <c r="BC130" s="1326"/>
      <c r="BD130" s="1037">
        <f>BJ130*BE130</f>
        <v>0</v>
      </c>
      <c r="BE130" s="1327">
        <f>$BF$6/($BL$6)</f>
        <v>0</v>
      </c>
      <c r="BF130" s="1328"/>
      <c r="BG130" s="995" t="e">
        <f>AU130+BA130+BD130</f>
        <v>#REF!</v>
      </c>
      <c r="BH130" s="996" t="e">
        <f>#REF!+BB130+BE130</f>
        <v>#REF!</v>
      </c>
      <c r="BI130" s="747"/>
      <c r="BJ130" s="1042">
        <v>7000</v>
      </c>
      <c r="BK130" s="1749"/>
      <c r="BL130" s="1682" t="e">
        <f>BH130+#REF!+U130</f>
        <v>#REF!</v>
      </c>
      <c r="BM130" s="615" t="s">
        <v>118</v>
      </c>
      <c r="BN130" s="1173" t="e">
        <f t="shared" si="127"/>
        <v>#REF!</v>
      </c>
      <c r="BO130" s="1596"/>
      <c r="BP130" s="1673" t="e">
        <f t="shared" si="186"/>
        <v>#REF!</v>
      </c>
      <c r="BQ130" s="15"/>
      <c r="BR130" s="15"/>
      <c r="BS130" s="15"/>
      <c r="BT130" s="15"/>
      <c r="BU130" s="15"/>
      <c r="BV130" s="1331" t="str">
        <f t="shared" si="185"/>
        <v>Dot prov ind fin de c</v>
      </c>
      <c r="BX130" s="24" t="e">
        <f t="shared" si="168"/>
        <v>#REF!</v>
      </c>
      <c r="BY130" s="24" t="e">
        <f t="shared" si="189"/>
        <v>#REF!</v>
      </c>
      <c r="BZ130" s="1373" t="e">
        <f t="shared" si="187"/>
        <v>#REF!</v>
      </c>
    </row>
    <row r="131" spans="1:107" ht="29.25" thickTop="1" thickBot="1">
      <c r="A131" s="1374" t="s">
        <v>119</v>
      </c>
      <c r="B131" s="1375">
        <f>B124+B93+B71+B65+B61+B6+B127</f>
        <v>16899.485103534418</v>
      </c>
      <c r="C131" s="1376" t="s">
        <v>41</v>
      </c>
      <c r="D131" s="1377"/>
      <c r="E131" s="1378">
        <f>E124+E93+E71+E65+E61+E6+E127</f>
        <v>0</v>
      </c>
      <c r="F131" s="1379" t="s">
        <v>41</v>
      </c>
      <c r="G131" s="1380">
        <f>G124+G93+G71+G65+G61+G6+G127</f>
        <v>16899.485103534418</v>
      </c>
      <c r="H131" s="1381" t="s">
        <v>41</v>
      </c>
      <c r="I131" s="1382" t="s">
        <v>41</v>
      </c>
      <c r="J131" s="1721"/>
      <c r="K131" s="1375">
        <f>K124+K93+K71+K65+K61+K6+K127</f>
        <v>42281.709879133188</v>
      </c>
      <c r="L131" s="1376" t="s">
        <v>41</v>
      </c>
      <c r="M131" s="1644" t="s">
        <v>41</v>
      </c>
      <c r="N131" s="1375">
        <f>N124+N93+N71+N65+N61+N6+N127</f>
        <v>100560.55448638528</v>
      </c>
      <c r="O131" s="1376" t="s">
        <v>41</v>
      </c>
      <c r="P131" s="1644" t="s">
        <v>41</v>
      </c>
      <c r="Q131" s="1375">
        <f>Q124+Q93+Q71+Q65+Q61+Q6+Q127</f>
        <v>40525.490629325446</v>
      </c>
      <c r="R131" s="1376" t="s">
        <v>41</v>
      </c>
      <c r="S131" s="1377" t="s">
        <v>41</v>
      </c>
      <c r="T131" s="1375">
        <f>T127+T93+T71+T65+T61+T6</f>
        <v>200267.24009837833</v>
      </c>
      <c r="U131" s="1728" t="s">
        <v>41</v>
      </c>
      <c r="V131" s="1729" t="s">
        <v>41</v>
      </c>
      <c r="W131" s="1880"/>
      <c r="X131" s="1383" t="s">
        <v>119</v>
      </c>
      <c r="Y131" s="1384">
        <f>Y124+Y93+Y71+Y65+Y61+Y6+Y127</f>
        <v>440157.76476697274</v>
      </c>
      <c r="Z131" s="1385" t="s">
        <v>41</v>
      </c>
      <c r="AA131" s="1627" t="s">
        <v>41</v>
      </c>
      <c r="AB131" s="1387">
        <f>AB124+AB93+AB71+AB65+AB61+AB6+AB127</f>
        <v>191660.40980953118</v>
      </c>
      <c r="AC131" s="1385" t="s">
        <v>41</v>
      </c>
      <c r="AD131" s="1386" t="s">
        <v>41</v>
      </c>
      <c r="AE131" s="1384">
        <f>AE124+AE93+AE71+AE65+AE61+AE6+AE127</f>
        <v>11504.688609473831</v>
      </c>
      <c r="AF131" s="1385" t="s">
        <v>41</v>
      </c>
      <c r="AG131" s="1386" t="s">
        <v>41</v>
      </c>
      <c r="AH131" s="1384">
        <f>AH124+AH93+AH71+AH65+AH61+AH6+AH127</f>
        <v>0</v>
      </c>
      <c r="AI131" s="1385" t="s">
        <v>41</v>
      </c>
      <c r="AJ131" s="1386" t="s">
        <v>41</v>
      </c>
      <c r="AK131" s="1388">
        <f>AK124+AK93+AK71+AK65+AK61+AK6+AK127</f>
        <v>0</v>
      </c>
      <c r="AL131" s="1389" t="s">
        <v>41</v>
      </c>
      <c r="AM131" s="1390" t="s">
        <v>41</v>
      </c>
      <c r="AN131" s="1384" t="e">
        <f>AN127+AN124+AN93+AN71+AN65+AN61+AN6</f>
        <v>#REF!</v>
      </c>
      <c r="AO131" s="1385" t="s">
        <v>41</v>
      </c>
      <c r="AP131" s="1386" t="s">
        <v>41</v>
      </c>
      <c r="AQ131" s="1384">
        <f>AQ127+AQ124+AQ93+AQ71+AQ65+AQ61+AQ6</f>
        <v>643322.86318597791</v>
      </c>
      <c r="AR131" s="1386" t="s">
        <v>41</v>
      </c>
      <c r="AS131" s="1915"/>
      <c r="AT131" s="1391" t="str">
        <f>X131</f>
        <v>TOTAL</v>
      </c>
      <c r="AU131" s="1392" t="e">
        <f>AU124+AU93+AU71+AU65+AU61+AU6+AU127</f>
        <v>#REF!</v>
      </c>
      <c r="AV131" s="1394" t="s">
        <v>41</v>
      </c>
      <c r="AW131" s="1395">
        <f>AW124+AW93+AW71+AW65+AW61+AW6+AW127</f>
        <v>0</v>
      </c>
      <c r="AX131" s="1396" t="s">
        <v>41</v>
      </c>
      <c r="AY131" s="1397" t="s">
        <v>41</v>
      </c>
      <c r="AZ131" s="1394"/>
      <c r="BA131" s="1392">
        <f>BA124+BA93+BA71+BA65+BA61+BA6+BA127</f>
        <v>27366.60349133952</v>
      </c>
      <c r="BB131" s="1393" t="s">
        <v>41</v>
      </c>
      <c r="BC131" s="1394" t="s">
        <v>41</v>
      </c>
      <c r="BD131" s="1392">
        <f>BD124+BD93+BD71+BD65+BD61+BD6+BD127</f>
        <v>0</v>
      </c>
      <c r="BE131" s="1393" t="s">
        <v>41</v>
      </c>
      <c r="BF131" s="1394" t="s">
        <v>41</v>
      </c>
      <c r="BG131" s="1503" t="e">
        <f>AU131+BA131+BD131</f>
        <v>#REF!</v>
      </c>
      <c r="BH131" s="1352"/>
      <c r="BI131" s="1394"/>
      <c r="BJ131" s="1398">
        <f>BJ127+BJ124+BJ93+BJ71+BJ65+BJ61+BJ6</f>
        <v>883522.95679305878</v>
      </c>
      <c r="BK131" s="1757"/>
      <c r="BL131" s="1694" t="s">
        <v>41</v>
      </c>
      <c r="BM131" s="908" t="s">
        <v>119</v>
      </c>
      <c r="BN131" s="1339" t="e">
        <f>BN127+BN124+BN93+BN71+BN65+BN61+BN6</f>
        <v>#REF!</v>
      </c>
      <c r="BO131" s="1599"/>
      <c r="BP131" s="1671" t="e">
        <f t="shared" si="186"/>
        <v>#REF!</v>
      </c>
      <c r="BQ131" s="24" t="e">
        <f>BD131+BA131+AW131+AU131+AN131+AK131+AH131+AE131+AB131+Y131+Q131+N131+K131+G131</f>
        <v>#REF!</v>
      </c>
      <c r="BR131" s="702" t="e">
        <f>BJ131-BQ131</f>
        <v>#REF!</v>
      </c>
      <c r="BS131" s="1373"/>
      <c r="BT131" s="1373"/>
      <c r="BU131" s="1373"/>
      <c r="BV131" s="1399" t="s">
        <v>119</v>
      </c>
      <c r="BX131" s="24" t="e">
        <f t="shared" si="168"/>
        <v>#REF!</v>
      </c>
      <c r="BY131" s="24" t="e">
        <f t="shared" si="189"/>
        <v>#REF!</v>
      </c>
      <c r="BZ131" s="15" t="e">
        <f t="shared" si="187"/>
        <v>#REF!</v>
      </c>
    </row>
    <row r="132" spans="1:107">
      <c r="B132" s="24">
        <f t="shared" ref="B132:I132" si="195">B134-B131</f>
        <v>-31.325103534418304</v>
      </c>
      <c r="C132" s="24"/>
      <c r="D132" s="24"/>
      <c r="E132" s="24">
        <f t="shared" si="195"/>
        <v>0</v>
      </c>
      <c r="F132" s="24" t="e">
        <f t="shared" si="195"/>
        <v>#VALUE!</v>
      </c>
      <c r="G132" s="24">
        <f t="shared" si="195"/>
        <v>-16899.485103534418</v>
      </c>
      <c r="H132" s="24" t="e">
        <f t="shared" si="195"/>
        <v>#VALUE!</v>
      </c>
      <c r="I132" s="24" t="e">
        <f t="shared" si="195"/>
        <v>#VALUE!</v>
      </c>
      <c r="J132" s="24"/>
      <c r="K132" s="24">
        <f>K134-K131</f>
        <v>14.96012086681003</v>
      </c>
      <c r="L132" s="24"/>
      <c r="N132" s="24">
        <f>N134-N131</f>
        <v>-103.61448638528236</v>
      </c>
      <c r="O132" s="24"/>
      <c r="Q132" s="24">
        <f>Q134-Q131</f>
        <v>45.399370674553211</v>
      </c>
      <c r="R132" s="24"/>
      <c r="S132" s="24"/>
      <c r="T132" s="1400">
        <f>T134-T131</f>
        <v>-74.580098378297407</v>
      </c>
      <c r="U132" s="24"/>
      <c r="V132" s="24"/>
      <c r="W132" s="24">
        <f>W134-W131</f>
        <v>0</v>
      </c>
      <c r="X132" s="24"/>
      <c r="Y132" s="1400">
        <f>Y134-Y131</f>
        <v>-8000.2464148220606</v>
      </c>
      <c r="Z132" s="24"/>
      <c r="AB132" s="1401">
        <f>AB134-AB131</f>
        <v>339.59019046882167</v>
      </c>
      <c r="AC132" s="24"/>
      <c r="AD132" s="24"/>
      <c r="AE132" s="24">
        <f>AE134-AE131</f>
        <v>-1504.6886094738311</v>
      </c>
      <c r="AF132" s="24"/>
      <c r="AG132" s="24"/>
      <c r="AH132" s="24">
        <f>AH134-AH131</f>
        <v>0</v>
      </c>
      <c r="AI132" s="24"/>
      <c r="AJ132" s="24"/>
      <c r="AK132" s="24">
        <f>AK134-AK131</f>
        <v>0</v>
      </c>
      <c r="AL132" s="24"/>
      <c r="AM132" s="24"/>
      <c r="AN132" s="24"/>
      <c r="AO132" s="24"/>
      <c r="AP132" s="24"/>
      <c r="AQ132" s="24">
        <f>AQ134-AQ131</f>
        <v>-9165.3448338272283</v>
      </c>
      <c r="AU132" s="24" t="e">
        <f>AU134-AU131</f>
        <v>#REF!</v>
      </c>
      <c r="AV132" s="24"/>
      <c r="AW132" s="24">
        <f>AW134-AW131</f>
        <v>0</v>
      </c>
      <c r="AX132" s="24" t="e">
        <f>AX134-AX131</f>
        <v>#VALUE!</v>
      </c>
      <c r="AY132" s="24" t="e">
        <f>AY134-AY131</f>
        <v>#VALUE!</v>
      </c>
      <c r="AZ132" s="24"/>
      <c r="BA132" s="24">
        <f>BA134-BA131</f>
        <v>7806.1750086604807</v>
      </c>
      <c r="BB132" s="24"/>
      <c r="BC132" s="24"/>
      <c r="BD132" s="24">
        <f>BD134-BD131</f>
        <v>0</v>
      </c>
      <c r="BE132" s="24"/>
      <c r="BF132" s="24"/>
      <c r="BG132" s="1351" t="e">
        <f>AU132+BA132+BD132</f>
        <v>#REF!</v>
      </c>
      <c r="BH132" s="1352" t="e">
        <f>#REF!+BB132+BE132</f>
        <v>#REF!</v>
      </c>
      <c r="BI132" s="24">
        <f>BI134-BI131</f>
        <v>0</v>
      </c>
      <c r="BJ132" s="24">
        <f>BJ134-BJ131</f>
        <v>-2.4409082252532244E-3</v>
      </c>
      <c r="BK132" s="24"/>
      <c r="BM132" s="1405" t="e">
        <f>BG131+AQ131+T131</f>
        <v>#REF!</v>
      </c>
      <c r="BN132" s="1406"/>
      <c r="BP132" s="1674"/>
    </row>
    <row r="133" spans="1:107" s="1373" customFormat="1" ht="27.75" thickBot="1">
      <c r="A133" s="15"/>
      <c r="B133" s="1407"/>
      <c r="C133" s="1407"/>
      <c r="D133" s="1407"/>
      <c r="E133" s="1407"/>
      <c r="F133" s="1408"/>
      <c r="G133" s="1934"/>
      <c r="H133" s="1934"/>
      <c r="I133" s="1934"/>
      <c r="J133" s="1727"/>
      <c r="K133" s="1872"/>
      <c r="L133" s="1877"/>
      <c r="M133" s="1877"/>
      <c r="N133" s="1872"/>
      <c r="O133" s="1877"/>
      <c r="P133" s="1877"/>
      <c r="Q133" s="1872"/>
      <c r="R133" s="1877"/>
      <c r="S133" s="1877"/>
      <c r="T133" s="1727"/>
      <c r="U133" s="1727"/>
      <c r="V133" s="1727"/>
      <c r="W133" s="15"/>
      <c r="X133" s="1243"/>
      <c r="Y133" s="1872"/>
      <c r="Z133" s="1872"/>
      <c r="AA133" s="1872"/>
      <c r="AB133" s="1873"/>
      <c r="AC133" s="1873"/>
      <c r="AD133" s="1873"/>
      <c r="AE133" s="1873"/>
      <c r="AF133" s="1873"/>
      <c r="AG133" s="1873"/>
      <c r="AH133" s="1873"/>
      <c r="AI133" s="1873"/>
      <c r="AJ133" s="1873"/>
      <c r="AK133" s="1873"/>
      <c r="AL133" s="1873"/>
      <c r="AM133" s="1873"/>
      <c r="AN133" s="1873"/>
      <c r="AO133" s="1873"/>
      <c r="AP133" s="1873"/>
      <c r="AQ133" s="1409"/>
      <c r="AR133" s="1403"/>
      <c r="AS133" s="1403"/>
      <c r="AT133" s="1404"/>
      <c r="AU133" s="1872"/>
      <c r="AV133" s="1872"/>
      <c r="AW133" s="1872"/>
      <c r="AX133" s="1872"/>
      <c r="AY133" s="1872"/>
      <c r="AZ133" s="1581"/>
      <c r="BA133" s="1581"/>
      <c r="BB133" s="1581"/>
      <c r="BC133" s="1581"/>
      <c r="BD133" s="1872"/>
      <c r="BE133" s="1872"/>
      <c r="BF133" s="1872"/>
      <c r="BG133" s="1581"/>
      <c r="BH133" s="1581"/>
      <c r="BI133" s="1581"/>
      <c r="BJ133" s="1410"/>
      <c r="BK133" s="1410"/>
      <c r="BL133" s="1695"/>
      <c r="BM133" s="615"/>
      <c r="BN133" s="615"/>
      <c r="BO133" s="15"/>
      <c r="BP133" s="1660"/>
      <c r="BQ133" s="15"/>
      <c r="BR133" s="15"/>
      <c r="BS133" s="15"/>
      <c r="BT133" s="15"/>
      <c r="BU133" s="15"/>
      <c r="BV133" s="15"/>
    </row>
    <row r="134" spans="1:107" ht="28.5" thickBot="1">
      <c r="A134" s="1374" t="s">
        <v>120</v>
      </c>
      <c r="B134" s="1375">
        <f>'Recettes BP 2017'!B49</f>
        <v>16868.16</v>
      </c>
      <c r="C134" s="1376"/>
      <c r="D134" s="1377"/>
      <c r="E134" s="1411">
        <f>'Recettes BP 2017'!C49</f>
        <v>0</v>
      </c>
      <c r="F134" s="1412"/>
      <c r="G134" s="1413">
        <f>'Recettes BP 2017'!D49</f>
        <v>0</v>
      </c>
      <c r="H134" s="1414"/>
      <c r="I134" s="1415"/>
      <c r="J134" s="1722"/>
      <c r="K134" s="1375">
        <f>'Recettes BP 2017'!E49</f>
        <v>42296.67</v>
      </c>
      <c r="L134" s="1376"/>
      <c r="M134" s="1644"/>
      <c r="N134" s="1416">
        <f>'Recettes BP 2017'!F49</f>
        <v>100456.94</v>
      </c>
      <c r="O134" s="1376"/>
      <c r="P134" s="1656"/>
      <c r="Q134" s="1375">
        <f>'Recettes BP 2017'!$G$49</f>
        <v>40570.89</v>
      </c>
      <c r="R134" s="1376"/>
      <c r="S134" s="1377"/>
      <c r="T134" s="1416">
        <f>B134+K134+N134+Q134</f>
        <v>200192.66000000003</v>
      </c>
      <c r="U134" s="1728"/>
      <c r="V134" s="1729"/>
      <c r="W134" s="1417"/>
      <c r="X134" s="1418" t="s">
        <v>119</v>
      </c>
      <c r="Y134" s="1384">
        <f>'Recettes BP 2017'!J49</f>
        <v>432157.51835215068</v>
      </c>
      <c r="Z134" s="1385"/>
      <c r="AA134" s="1627"/>
      <c r="AB134" s="1419">
        <f>'Recettes BP 2017'!K49</f>
        <v>192000</v>
      </c>
      <c r="AC134" s="1385"/>
      <c r="AD134" s="1420"/>
      <c r="AE134" s="1384">
        <f>'Recettes BP 2017'!L49</f>
        <v>10000</v>
      </c>
      <c r="AF134" s="1385"/>
      <c r="AG134" s="1386"/>
      <c r="AH134" s="1421">
        <f>'Recettes BP 2017'!M49</f>
        <v>0</v>
      </c>
      <c r="AI134" s="1385"/>
      <c r="AJ134" s="1420"/>
      <c r="AK134" s="1384">
        <f>'Recettes BP 2017'!N49</f>
        <v>0</v>
      </c>
      <c r="AL134" s="1385"/>
      <c r="AM134" s="1386"/>
      <c r="AN134" s="1421"/>
      <c r="AO134" s="1385"/>
      <c r="AP134" s="1420">
        <f>'Recettes BP 2017'!O49</f>
        <v>0</v>
      </c>
      <c r="AQ134" s="1384">
        <f>'Recettes BP 2017'!P49</f>
        <v>634157.51835215068</v>
      </c>
      <c r="AR134" s="1386"/>
      <c r="AS134" s="1422"/>
      <c r="AT134" s="1423" t="s">
        <v>119</v>
      </c>
      <c r="AU134" s="1424">
        <f>'Recettes BP 2017'!R49</f>
        <v>14000</v>
      </c>
      <c r="AV134" s="1425"/>
      <c r="AW134" s="1424">
        <f>'Recettes BP 2017'!S49</f>
        <v>0</v>
      </c>
      <c r="AX134" s="1393"/>
      <c r="AY134" s="1426"/>
      <c r="AZ134" s="1394"/>
      <c r="BA134" s="1427">
        <f>'Recettes BP 2017'!T49</f>
        <v>35172.7785</v>
      </c>
      <c r="BB134" s="1393"/>
      <c r="BC134" s="1425"/>
      <c r="BD134" s="1424">
        <f>'Recettes BP 2017'!U49</f>
        <v>0</v>
      </c>
      <c r="BE134" s="1393"/>
      <c r="BF134" s="1425"/>
      <c r="BG134" s="1424">
        <f>'Recettes BP 2017'!V49</f>
        <v>49172.7785</v>
      </c>
      <c r="BH134" s="1393"/>
      <c r="BI134" s="1425">
        <f>'Recettes BP 2017'!W49</f>
        <v>0</v>
      </c>
      <c r="BJ134" s="1428">
        <f>'Recettes BP 2017'!X49</f>
        <v>883522.95435215055</v>
      </c>
      <c r="BK134" s="1758"/>
      <c r="BL134" s="1696"/>
      <c r="BM134" s="1429"/>
      <c r="BN134" s="1430"/>
      <c r="BO134" s="1600"/>
      <c r="BP134" s="1675"/>
      <c r="BQ134" s="912"/>
      <c r="BR134" s="1431"/>
      <c r="BV134" s="1432" t="s">
        <v>121</v>
      </c>
    </row>
    <row r="135" spans="1:107" s="1436" customFormat="1">
      <c r="A135" s="15"/>
      <c r="B135" s="1433"/>
      <c r="C135" s="1433"/>
      <c r="D135" s="1433"/>
      <c r="E135" s="1434"/>
      <c r="F135" s="1434"/>
      <c r="G135" s="1433"/>
      <c r="H135" s="1433"/>
      <c r="I135" s="1433"/>
      <c r="J135" s="1433"/>
      <c r="K135" s="1433"/>
      <c r="L135" s="1433"/>
      <c r="M135" s="1646"/>
      <c r="N135" s="1433"/>
      <c r="O135" s="1433"/>
      <c r="P135" s="1646"/>
      <c r="Q135" s="1433"/>
      <c r="R135" s="1433"/>
      <c r="S135" s="1433"/>
      <c r="T135" s="15"/>
      <c r="U135" s="15"/>
      <c r="V135" s="15"/>
      <c r="W135" s="15"/>
      <c r="X135" s="1243"/>
      <c r="Y135" s="1872"/>
      <c r="Z135" s="1872"/>
      <c r="AA135" s="1872"/>
      <c r="AB135" s="1435"/>
      <c r="AC135" s="1402"/>
      <c r="AD135" s="1402"/>
      <c r="AE135" s="1873"/>
      <c r="AF135" s="1873"/>
      <c r="AG135" s="1873"/>
      <c r="AH135" s="1582"/>
      <c r="AI135" s="1582"/>
      <c r="AJ135" s="1582"/>
      <c r="AK135" s="1873"/>
      <c r="AL135" s="1873"/>
      <c r="AM135" s="1873"/>
      <c r="AN135" s="1873"/>
      <c r="AO135" s="1873"/>
      <c r="AP135" s="1873"/>
      <c r="AQ135" s="1822">
        <f>AQ134/BJ134</f>
        <v>0.7177600935305084</v>
      </c>
      <c r="AR135" s="1403"/>
      <c r="AS135" s="1403"/>
      <c r="AT135" s="1404"/>
      <c r="AU135" s="1872"/>
      <c r="AV135" s="1872"/>
      <c r="AW135" s="1872"/>
      <c r="AX135" s="1872"/>
      <c r="AY135" s="1872"/>
      <c r="AZ135" s="1581"/>
      <c r="BA135" s="1581"/>
      <c r="BB135" s="1581"/>
      <c r="BC135" s="1581"/>
      <c r="BD135" s="1872"/>
      <c r="BE135" s="1872"/>
      <c r="BF135" s="1872"/>
      <c r="BG135" s="1581"/>
      <c r="BH135" s="1581"/>
      <c r="BI135" s="1581"/>
      <c r="BJ135" s="1410"/>
      <c r="BK135" s="1410"/>
      <c r="BL135" s="1695"/>
      <c r="BM135" s="615"/>
      <c r="BN135" s="615"/>
      <c r="BO135" s="15"/>
      <c r="BP135" s="1660"/>
      <c r="BQ135" s="15"/>
      <c r="BR135" s="15"/>
      <c r="BS135" s="15"/>
      <c r="BT135" s="15"/>
      <c r="BU135" s="15"/>
      <c r="BV135" s="15"/>
    </row>
    <row r="136" spans="1:107" s="1436" customFormat="1" ht="28.5" hidden="1" thickBot="1">
      <c r="A136" s="1437" t="s">
        <v>122</v>
      </c>
      <c r="B136" s="1438">
        <v>6446.5977420759318</v>
      </c>
      <c r="C136" s="1439" t="s">
        <v>41</v>
      </c>
      <c r="D136" s="1440"/>
      <c r="E136" s="1441">
        <v>14194.295476885549</v>
      </c>
      <c r="F136" s="1412" t="s">
        <v>41</v>
      </c>
      <c r="G136" s="1442">
        <v>20640.893218961482</v>
      </c>
      <c r="H136" s="1443" t="s">
        <v>41</v>
      </c>
      <c r="I136" s="1444" t="s">
        <v>41</v>
      </c>
      <c r="J136" s="1723"/>
      <c r="K136" s="1438">
        <v>17470.68680390263</v>
      </c>
      <c r="L136" s="1439" t="s">
        <v>41</v>
      </c>
      <c r="M136" s="1647" t="s">
        <v>41</v>
      </c>
      <c r="N136" s="1445">
        <v>131307.13780467349</v>
      </c>
      <c r="O136" s="1439" t="s">
        <v>41</v>
      </c>
      <c r="P136" s="1657" t="s">
        <v>41</v>
      </c>
      <c r="Q136" s="1438">
        <v>30724.140630539114</v>
      </c>
      <c r="R136" s="1439" t="s">
        <v>41</v>
      </c>
      <c r="S136" s="1440" t="s">
        <v>41</v>
      </c>
      <c r="T136" s="1445">
        <v>200142.85845807672</v>
      </c>
      <c r="U136" s="1446" t="s">
        <v>41</v>
      </c>
      <c r="V136" s="1447" t="s">
        <v>41</v>
      </c>
      <c r="W136" s="1448"/>
      <c r="X136" s="1449" t="s">
        <v>119</v>
      </c>
      <c r="Y136" s="1450">
        <v>419091.60321030102</v>
      </c>
      <c r="Z136" s="1451" t="s">
        <v>41</v>
      </c>
      <c r="AA136" s="1629" t="s">
        <v>41</v>
      </c>
      <c r="AB136" s="1453">
        <v>3050.0000040868954</v>
      </c>
      <c r="AC136" s="1451" t="s">
        <v>41</v>
      </c>
      <c r="AD136" s="1454" t="s">
        <v>41</v>
      </c>
      <c r="AE136" s="1450">
        <v>15846.719468069521</v>
      </c>
      <c r="AF136" s="1451" t="s">
        <v>41</v>
      </c>
      <c r="AG136" s="1452" t="s">
        <v>41</v>
      </c>
      <c r="AH136" s="1455">
        <v>43802.575701781716</v>
      </c>
      <c r="AI136" s="1451" t="s">
        <v>41</v>
      </c>
      <c r="AJ136" s="1454" t="s">
        <v>41</v>
      </c>
      <c r="AK136" s="1450">
        <v>20081.00000423078</v>
      </c>
      <c r="AL136" s="1451" t="s">
        <v>41</v>
      </c>
      <c r="AM136" s="1452" t="s">
        <v>41</v>
      </c>
      <c r="AN136" s="1455">
        <v>0</v>
      </c>
      <c r="AO136" s="1451" t="s">
        <v>41</v>
      </c>
      <c r="AP136" s="1454" t="s">
        <v>41</v>
      </c>
      <c r="AQ136" s="1450">
        <v>501871.89838846994</v>
      </c>
      <c r="AR136" s="1452" t="s">
        <v>41</v>
      </c>
      <c r="AS136" s="1456"/>
      <c r="AT136" s="1457" t="s">
        <v>119</v>
      </c>
      <c r="AU136" s="1458">
        <v>14000.000097100754</v>
      </c>
      <c r="AV136" s="1460" t="s">
        <v>41</v>
      </c>
      <c r="AW136" s="1458">
        <v>20089.745322101517</v>
      </c>
      <c r="AX136" s="1459" t="s">
        <v>41</v>
      </c>
      <c r="AY136" s="1460" t="s">
        <v>41</v>
      </c>
      <c r="AZ136" s="1461"/>
      <c r="BA136" s="1458">
        <v>67471.350000064122</v>
      </c>
      <c r="BB136" s="1459" t="s">
        <v>41</v>
      </c>
      <c r="BC136" s="1460" t="s">
        <v>41</v>
      </c>
      <c r="BD136" s="1458">
        <v>3249.9786684233659</v>
      </c>
      <c r="BE136" s="1459" t="s">
        <v>41</v>
      </c>
      <c r="BF136" s="1460" t="s">
        <v>41</v>
      </c>
      <c r="BG136" s="1458">
        <v>104811.07408768975</v>
      </c>
      <c r="BH136" s="1459" t="s">
        <v>41</v>
      </c>
      <c r="BI136" s="1460"/>
      <c r="BJ136" s="1462">
        <v>806825.83093423699</v>
      </c>
      <c r="BK136" s="1759"/>
      <c r="BL136" s="1697" t="s">
        <v>41</v>
      </c>
      <c r="BM136" s="1463" t="s">
        <v>119</v>
      </c>
      <c r="BN136" s="1464"/>
      <c r="BO136" s="1601"/>
      <c r="BP136" s="1676"/>
      <c r="BQ136" s="1465">
        <v>730383.06769579626</v>
      </c>
      <c r="BR136" s="1466">
        <v>0</v>
      </c>
      <c r="BV136" s="1467" t="s">
        <v>122</v>
      </c>
    </row>
    <row r="137" spans="1:107" ht="28.5" hidden="1" thickBot="1">
      <c r="A137" s="1468" t="s">
        <v>123</v>
      </c>
      <c r="B137" s="1469">
        <v>31295.240781591565</v>
      </c>
      <c r="C137" s="1470" t="s">
        <v>41</v>
      </c>
      <c r="D137" s="1471"/>
      <c r="E137" s="1472">
        <v>12862.49384645936</v>
      </c>
      <c r="F137" s="1473" t="s">
        <v>41</v>
      </c>
      <c r="G137" s="1474">
        <v>44157.734628050923</v>
      </c>
      <c r="H137" s="1475" t="s">
        <v>41</v>
      </c>
      <c r="I137" s="1476" t="s">
        <v>41</v>
      </c>
      <c r="J137" s="1724"/>
      <c r="K137" s="1469">
        <v>23114.65027732505</v>
      </c>
      <c r="L137" s="1470" t="s">
        <v>41</v>
      </c>
      <c r="M137" s="1648" t="s">
        <v>41</v>
      </c>
      <c r="N137" s="1477">
        <v>110349.63567541195</v>
      </c>
      <c r="O137" s="1470" t="s">
        <v>41</v>
      </c>
      <c r="P137" s="1658" t="s">
        <v>41</v>
      </c>
      <c r="Q137" s="1469">
        <v>18327.604258530289</v>
      </c>
      <c r="R137" s="1470" t="s">
        <v>41</v>
      </c>
      <c r="S137" s="1471" t="s">
        <v>41</v>
      </c>
      <c r="T137" s="1477">
        <v>195949.62483931822</v>
      </c>
      <c r="U137" s="1478" t="s">
        <v>41</v>
      </c>
      <c r="V137" s="1479" t="s">
        <v>41</v>
      </c>
      <c r="W137" s="1480"/>
      <c r="X137" s="1481" t="s">
        <v>119</v>
      </c>
      <c r="Y137" s="1482">
        <v>412381.84868810757</v>
      </c>
      <c r="Z137" s="1483" t="s">
        <v>41</v>
      </c>
      <c r="AA137" s="1630" t="s">
        <v>41</v>
      </c>
      <c r="AB137" s="1485">
        <v>3049.9995851657941</v>
      </c>
      <c r="AC137" s="1483" t="s">
        <v>41</v>
      </c>
      <c r="AD137" s="1486" t="s">
        <v>41</v>
      </c>
      <c r="AE137" s="1482">
        <v>3402.8221888743456</v>
      </c>
      <c r="AF137" s="1483" t="s">
        <v>41</v>
      </c>
      <c r="AG137" s="1484" t="s">
        <v>41</v>
      </c>
      <c r="AH137" s="1487">
        <v>43802.575719165514</v>
      </c>
      <c r="AI137" s="1483" t="s">
        <v>41</v>
      </c>
      <c r="AJ137" s="1486" t="s">
        <v>41</v>
      </c>
      <c r="AK137" s="1482">
        <v>20080.999502520081</v>
      </c>
      <c r="AL137" s="1483" t="s">
        <v>41</v>
      </c>
      <c r="AM137" s="1484" t="s">
        <v>41</v>
      </c>
      <c r="AN137" s="1487">
        <v>0</v>
      </c>
      <c r="AO137" s="1483" t="s">
        <v>41</v>
      </c>
      <c r="AP137" s="1486" t="s">
        <v>41</v>
      </c>
      <c r="AQ137" s="1482">
        <v>482718.24568383332</v>
      </c>
      <c r="AR137" s="1484" t="s">
        <v>41</v>
      </c>
      <c r="AS137" s="1488"/>
      <c r="AT137" s="1489" t="s">
        <v>119</v>
      </c>
      <c r="AU137" s="1490">
        <v>14000.000001834149</v>
      </c>
      <c r="AV137" s="1492" t="s">
        <v>41</v>
      </c>
      <c r="AW137" s="1490">
        <v>26950.00007547898</v>
      </c>
      <c r="AX137" s="1491" t="s">
        <v>41</v>
      </c>
      <c r="AY137" s="1492" t="s">
        <v>41</v>
      </c>
      <c r="AZ137" s="1493"/>
      <c r="BA137" s="1490">
        <v>7871.8207503635713</v>
      </c>
      <c r="BB137" s="1491" t="s">
        <v>41</v>
      </c>
      <c r="BC137" s="1492" t="s">
        <v>41</v>
      </c>
      <c r="BD137" s="1490">
        <v>2893.376344968005</v>
      </c>
      <c r="BE137" s="1491" t="s">
        <v>41</v>
      </c>
      <c r="BF137" s="1492" t="s">
        <v>41</v>
      </c>
      <c r="BG137" s="1490">
        <v>51715.197172644708</v>
      </c>
      <c r="BH137" s="1491" t="s">
        <v>41</v>
      </c>
      <c r="BI137" s="1492"/>
      <c r="BJ137" s="1494">
        <v>730383.06769579626</v>
      </c>
      <c r="BK137" s="1760"/>
      <c r="BL137" s="1698" t="s">
        <v>41</v>
      </c>
      <c r="BM137" s="1495" t="s">
        <v>119</v>
      </c>
      <c r="BN137" s="1496"/>
      <c r="BO137" s="1601"/>
      <c r="BP137" s="1677"/>
      <c r="BQ137" s="1465">
        <v>730383.06769579626</v>
      </c>
      <c r="BR137" s="1466">
        <v>0</v>
      </c>
      <c r="BS137" s="1436"/>
      <c r="BT137" s="1436"/>
      <c r="BU137" s="1436"/>
      <c r="BV137" s="1497" t="s">
        <v>123</v>
      </c>
    </row>
    <row r="138" spans="1:107">
      <c r="B138" s="1703">
        <f>B134/T134</f>
        <v>8.4259632695824094E-2</v>
      </c>
      <c r="C138" s="1434"/>
      <c r="D138" s="1434"/>
      <c r="E138" s="1434"/>
      <c r="F138" s="1434"/>
      <c r="G138" s="1433"/>
      <c r="H138" s="1433"/>
      <c r="I138" s="1433"/>
      <c r="J138" s="1433"/>
      <c r="K138" s="1705">
        <f>K134/T134</f>
        <v>0.2112798241454007</v>
      </c>
      <c r="L138" s="1433"/>
      <c r="M138" s="1646"/>
      <c r="N138" s="1705">
        <f>N134/T134</f>
        <v>0.50180131479345935</v>
      </c>
      <c r="O138" s="1433"/>
      <c r="P138" s="1646"/>
      <c r="Q138" s="1705">
        <f>Q134/T134</f>
        <v>0.20265922836531566</v>
      </c>
      <c r="R138" s="1433"/>
      <c r="S138" s="1705">
        <f>B138+K138+N138+Q138</f>
        <v>0.99999999999999978</v>
      </c>
      <c r="T138" s="24"/>
      <c r="U138" s="1704">
        <f>T134/BJ134</f>
        <v>0.22658456015643952</v>
      </c>
      <c r="Y138" s="1498"/>
      <c r="AK138" s="1873"/>
      <c r="AL138" s="1873"/>
      <c r="AM138" s="1873"/>
      <c r="AQ138" s="1822">
        <f>AR6/BL6</f>
        <v>0.75308015473162249</v>
      </c>
      <c r="BJ138" s="1823">
        <f>BG134/BJ134</f>
        <v>5.5655349142633523E-2</v>
      </c>
      <c r="BK138" s="1824">
        <f>BJ138+AQ135+U138</f>
        <v>1.0000000028295815</v>
      </c>
    </row>
    <row r="139" spans="1:107">
      <c r="B139" s="1408">
        <f>U140*B138/S138</f>
        <v>1.7717248967220801E-2</v>
      </c>
      <c r="C139" s="1703">
        <f>B139/T140</f>
        <v>8.4259632695824122E-2</v>
      </c>
      <c r="K139" s="15">
        <f>U140*K138/S138</f>
        <v>4.4425748444073272E-2</v>
      </c>
      <c r="L139" s="1703">
        <f>K139/T140</f>
        <v>0.21127982414540072</v>
      </c>
      <c r="N139" s="15">
        <f>U140*N138/S138</f>
        <v>0.10551361953320114</v>
      </c>
      <c r="O139" s="1703">
        <f>N139/T140</f>
        <v>0.50180131479345946</v>
      </c>
      <c r="Q139" s="15">
        <f>U140*Q138/S138</f>
        <v>4.2613098224805121E-2</v>
      </c>
      <c r="R139" s="488">
        <f>Q139/T140</f>
        <v>0.20265922836531569</v>
      </c>
      <c r="S139" s="703">
        <f>C139+L139+O139+R139</f>
        <v>1</v>
      </c>
      <c r="BJ139" s="1825">
        <f>BI6/BL6</f>
        <v>3.6713662533027096E-2</v>
      </c>
      <c r="BK139" s="1826">
        <f>BJ139+AQ138+U140</f>
        <v>1.00006353243395</v>
      </c>
      <c r="BL139" s="1699">
        <v>1859.03</v>
      </c>
    </row>
    <row r="140" spans="1:107" ht="27.75">
      <c r="B140" s="15"/>
      <c r="C140" s="15"/>
      <c r="D140" s="15"/>
      <c r="E140" s="15"/>
      <c r="F140" s="15"/>
      <c r="S140" s="15"/>
      <c r="T140" s="15">
        <f>B139+K139+N139+Q139</f>
        <v>0.21026971516930032</v>
      </c>
      <c r="U140" s="1703">
        <f>V6/BL6</f>
        <v>0.21026971516930032</v>
      </c>
      <c r="X140" s="15"/>
      <c r="AB140" s="1401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BJ140" s="1410"/>
      <c r="BK140" s="1410"/>
      <c r="BL140" s="1700"/>
      <c r="BM140" s="1408"/>
      <c r="BN140" s="1408"/>
      <c r="BO140" s="1408"/>
      <c r="BP140" s="1678"/>
      <c r="BQ140" s="1408"/>
      <c r="BR140" s="1408"/>
      <c r="BS140" s="1408"/>
      <c r="BT140" s="1408"/>
      <c r="BU140" s="1408"/>
      <c r="BV140" s="1408"/>
      <c r="BX140" s="1402"/>
      <c r="BY140" s="1402"/>
      <c r="BZ140" s="1402"/>
      <c r="CA140" s="1402"/>
      <c r="CB140" s="1402"/>
      <c r="CC140" s="1402"/>
      <c r="CD140" s="1402"/>
      <c r="CE140" s="1402"/>
      <c r="CF140" s="1402"/>
      <c r="CG140" s="1403"/>
      <c r="CH140" s="1403"/>
      <c r="CI140" s="1404"/>
      <c r="CY140" s="1499"/>
      <c r="CZ140" s="1402"/>
      <c r="DA140" s="615"/>
      <c r="DB140" s="615"/>
      <c r="DC140" s="615"/>
    </row>
    <row r="141" spans="1:107">
      <c r="B141" s="1408">
        <f>BJ13*C139</f>
        <v>5351.9282755887789</v>
      </c>
      <c r="C141" s="1408">
        <f>B141*C142/B142</f>
        <v>8.4259631390483272E-2</v>
      </c>
      <c r="BJ141" s="1500"/>
      <c r="BK141" s="1500"/>
    </row>
    <row r="142" spans="1:107">
      <c r="B142" s="1408">
        <v>63517.11</v>
      </c>
      <c r="C142" s="1408">
        <v>1</v>
      </c>
      <c r="BJ142" s="1501"/>
      <c r="BK142" s="1501"/>
    </row>
    <row r="144" spans="1:107">
      <c r="B144" s="1408">
        <f>BJ22*C139</f>
        <v>3455.64939448717</v>
      </c>
      <c r="C144" s="1408">
        <f>B144*C145/B145</f>
        <v>8.4259634625425239E-2</v>
      </c>
      <c r="T144" s="1502"/>
    </row>
    <row r="145" spans="2:24">
      <c r="B145" s="1408">
        <v>41011.919999999998</v>
      </c>
      <c r="C145" s="1408">
        <v>1</v>
      </c>
      <c r="X145" s="15"/>
    </row>
    <row r="147" spans="2:24">
      <c r="B147" s="1408">
        <v>137396.32999999999</v>
      </c>
      <c r="C147" s="1726">
        <v>3</v>
      </c>
      <c r="D147" s="1408" t="s">
        <v>124</v>
      </c>
    </row>
    <row r="148" spans="2:24">
      <c r="B148" s="1408">
        <f>C148*B147/C147</f>
        <v>13775.658958908871</v>
      </c>
      <c r="C148" s="1408">
        <v>0.30078661400000001</v>
      </c>
      <c r="J148" s="15">
        <f>32867.3+41011.92+63517.11</f>
        <v>137396.33000000002</v>
      </c>
    </row>
  </sheetData>
  <mergeCells count="49">
    <mergeCell ref="A1:BL2"/>
    <mergeCell ref="G133:I133"/>
    <mergeCell ref="AH133:AJ133"/>
    <mergeCell ref="AK138:AM138"/>
    <mergeCell ref="AW133:AY133"/>
    <mergeCell ref="BD133:BF133"/>
    <mergeCell ref="AW135:AY135"/>
    <mergeCell ref="BD135:BF135"/>
    <mergeCell ref="AU133:AV133"/>
    <mergeCell ref="AK135:AM135"/>
    <mergeCell ref="AN135:AP135"/>
    <mergeCell ref="AU135:AV135"/>
    <mergeCell ref="AN133:AP133"/>
    <mergeCell ref="K133:M133"/>
    <mergeCell ref="N133:P133"/>
    <mergeCell ref="AK133:AM133"/>
    <mergeCell ref="Y5:AA5"/>
    <mergeCell ref="AH5:AJ5"/>
    <mergeCell ref="AK5:AM5"/>
    <mergeCell ref="AB5:AD5"/>
    <mergeCell ref="AE5:AG5"/>
    <mergeCell ref="BV3:BV6"/>
    <mergeCell ref="BD5:BF5"/>
    <mergeCell ref="BG5:BI5"/>
    <mergeCell ref="AW5:AY5"/>
    <mergeCell ref="AN5:AP5"/>
    <mergeCell ref="BJ3:BL5"/>
    <mergeCell ref="AS3:AS131"/>
    <mergeCell ref="AU3:BI4"/>
    <mergeCell ref="BA5:BC5"/>
    <mergeCell ref="AT3:AT5"/>
    <mergeCell ref="AU5:AV5"/>
    <mergeCell ref="AQ5:AR5"/>
    <mergeCell ref="A3:A5"/>
    <mergeCell ref="Y135:AA135"/>
    <mergeCell ref="AE135:AG135"/>
    <mergeCell ref="AB133:AD133"/>
    <mergeCell ref="Y133:AA133"/>
    <mergeCell ref="Q5:S5"/>
    <mergeCell ref="Q133:S133"/>
    <mergeCell ref="W3:W131"/>
    <mergeCell ref="T5:V5"/>
    <mergeCell ref="B3:V4"/>
    <mergeCell ref="B5:I5"/>
    <mergeCell ref="K5:M5"/>
    <mergeCell ref="N5:P5"/>
    <mergeCell ref="AE133:AG133"/>
    <mergeCell ref="Y3:AR4"/>
    <mergeCell ref="X3:X5"/>
  </mergeCells>
  <conditionalFormatting sqref="BN52:BN60 BN7:BN45">
    <cfRule type="cellIs" dxfId="14" priority="4" operator="equal">
      <formula>0</formula>
    </cfRule>
  </conditionalFormatting>
  <conditionalFormatting sqref="BN46:BN51">
    <cfRule type="cellIs" dxfId="13" priority="1" operator="equal">
      <formula>0</formula>
    </cfRule>
  </conditionalFormatting>
  <pageMargins left="0.7" right="0.7" top="0.75" bottom="0.75" header="0.3" footer="0.3"/>
  <pageSetup paperSize="8" scale="2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zoomScale="90" zoomScaleNormal="90" workbookViewId="0">
      <selection activeCell="A25" sqref="A25"/>
    </sheetView>
  </sheetViews>
  <sheetFormatPr baseColWidth="10" defaultColWidth="11.42578125" defaultRowHeight="12.75"/>
  <cols>
    <col min="1" max="1" width="114.5703125" customWidth="1"/>
  </cols>
  <sheetData>
    <row r="1" spans="1:1" ht="15">
      <c r="A1" s="296" t="s">
        <v>365</v>
      </c>
    </row>
    <row r="2" spans="1:1" ht="13.5" thickBot="1"/>
    <row r="3" spans="1:1" ht="27.75" customHeight="1">
      <c r="A3" s="292" t="s">
        <v>366</v>
      </c>
    </row>
    <row r="4" spans="1:1">
      <c r="A4" s="295" t="s">
        <v>367</v>
      </c>
    </row>
    <row r="5" spans="1:1">
      <c r="A5" s="293" t="s">
        <v>368</v>
      </c>
    </row>
    <row r="6" spans="1:1">
      <c r="A6" s="293" t="s">
        <v>369</v>
      </c>
    </row>
    <row r="7" spans="1:1">
      <c r="A7" s="293" t="s">
        <v>370</v>
      </c>
    </row>
    <row r="8" spans="1:1">
      <c r="A8" s="293" t="s">
        <v>371</v>
      </c>
    </row>
    <row r="9" spans="1:1">
      <c r="A9" s="293" t="s">
        <v>372</v>
      </c>
    </row>
    <row r="10" spans="1:1">
      <c r="A10" s="293" t="s">
        <v>373</v>
      </c>
    </row>
    <row r="11" spans="1:1" ht="25.5">
      <c r="A11" s="295" t="s">
        <v>374</v>
      </c>
    </row>
    <row r="12" spans="1:1">
      <c r="A12" s="295" t="s">
        <v>375</v>
      </c>
    </row>
    <row r="13" spans="1:1">
      <c r="A13" s="295" t="s">
        <v>376</v>
      </c>
    </row>
    <row r="14" spans="1:1">
      <c r="A14" s="295" t="s">
        <v>377</v>
      </c>
    </row>
    <row r="15" spans="1:1">
      <c r="A15" s="295" t="s">
        <v>378</v>
      </c>
    </row>
    <row r="16" spans="1:1" ht="13.5" thickBot="1">
      <c r="A16" s="294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workbookViewId="0">
      <selection activeCell="E5" sqref="E5"/>
    </sheetView>
  </sheetViews>
  <sheetFormatPr baseColWidth="10" defaultColWidth="11.42578125" defaultRowHeight="12.75"/>
  <cols>
    <col min="1" max="1" width="25.5703125" bestFit="1" customWidth="1"/>
    <col min="2" max="2" width="16.5703125" bestFit="1" customWidth="1"/>
  </cols>
  <sheetData>
    <row r="3" spans="1:11" ht="13.5" thickBot="1"/>
    <row r="4" spans="1:11" ht="13.5" thickBot="1">
      <c r="B4" s="480"/>
      <c r="C4" s="459" t="s">
        <v>379</v>
      </c>
      <c r="D4" s="460" t="s">
        <v>380</v>
      </c>
      <c r="E4" s="460" t="s">
        <v>381</v>
      </c>
      <c r="F4" s="460" t="s">
        <v>382</v>
      </c>
      <c r="G4" s="461" t="s">
        <v>383</v>
      </c>
      <c r="H4" s="486" t="s">
        <v>384</v>
      </c>
      <c r="I4" s="462" t="s">
        <v>220</v>
      </c>
    </row>
    <row r="5" spans="1:11">
      <c r="A5" t="s">
        <v>25</v>
      </c>
      <c r="B5" s="463" t="s">
        <v>385</v>
      </c>
      <c r="C5" s="464">
        <v>6.0000000000000001E-3</v>
      </c>
      <c r="D5" s="465">
        <v>0.1</v>
      </c>
      <c r="E5" s="465">
        <v>8.4000000000000019E-2</v>
      </c>
      <c r="F5" s="465">
        <v>0.02</v>
      </c>
      <c r="G5" s="466">
        <v>0.02</v>
      </c>
      <c r="H5" s="482">
        <v>0.01</v>
      </c>
      <c r="I5" s="467">
        <f>SUM(C5:H5)</f>
        <v>0.24000000000000002</v>
      </c>
      <c r="J5">
        <v>0.24000000000000002</v>
      </c>
      <c r="K5" s="487">
        <f>J5-I5</f>
        <v>0</v>
      </c>
    </row>
    <row r="6" spans="1:11">
      <c r="A6" t="s">
        <v>28</v>
      </c>
      <c r="B6" s="463" t="s">
        <v>386</v>
      </c>
      <c r="C6" s="468">
        <v>0.08</v>
      </c>
      <c r="D6" s="469">
        <v>0.15</v>
      </c>
      <c r="E6" s="469">
        <v>0.15000000000000002</v>
      </c>
      <c r="F6" s="469">
        <v>0.08</v>
      </c>
      <c r="G6" s="470">
        <v>0.04</v>
      </c>
      <c r="H6" s="483">
        <v>1.5362316999999903E-2</v>
      </c>
      <c r="I6" s="471">
        <f t="shared" ref="I6:I20" si="0">SUM(C6:H6)</f>
        <v>0.5153623169999999</v>
      </c>
      <c r="J6">
        <v>0.5153623169999999</v>
      </c>
      <c r="K6" s="487">
        <f t="shared" ref="K6:K21" si="1">J6-I6</f>
        <v>0</v>
      </c>
    </row>
    <row r="7" spans="1:11">
      <c r="A7" t="s">
        <v>29</v>
      </c>
      <c r="B7" s="463" t="s">
        <v>387</v>
      </c>
      <c r="C7" s="468">
        <v>0.1</v>
      </c>
      <c r="D7" s="469">
        <v>0.25</v>
      </c>
      <c r="E7" s="469">
        <v>0.28502696299999997</v>
      </c>
      <c r="F7" s="469">
        <v>7.0000000000000007E-2</v>
      </c>
      <c r="G7" s="470">
        <v>0.02</v>
      </c>
      <c r="H7" s="483">
        <v>0.03</v>
      </c>
      <c r="I7" s="471">
        <f t="shared" si="0"/>
        <v>0.75502696299999994</v>
      </c>
      <c r="J7">
        <v>0.75502696299999994</v>
      </c>
      <c r="K7" s="487">
        <f t="shared" si="1"/>
        <v>0</v>
      </c>
    </row>
    <row r="8" spans="1:11">
      <c r="A8" t="s">
        <v>30</v>
      </c>
      <c r="B8" s="463" t="s">
        <v>388</v>
      </c>
      <c r="C8" s="468">
        <v>0.05</v>
      </c>
      <c r="D8" s="469">
        <v>0.05</v>
      </c>
      <c r="E8" s="469">
        <v>0.18935320349999996</v>
      </c>
      <c r="F8" s="469">
        <v>0.1</v>
      </c>
      <c r="G8" s="470">
        <v>0.02</v>
      </c>
      <c r="H8" s="483">
        <v>0.21064679650000001</v>
      </c>
      <c r="I8" s="471">
        <f t="shared" si="0"/>
        <v>0.61999999999999988</v>
      </c>
      <c r="J8">
        <v>0.62</v>
      </c>
      <c r="K8" s="487">
        <f t="shared" si="1"/>
        <v>0</v>
      </c>
    </row>
    <row r="9" spans="1:11">
      <c r="A9" t="s">
        <v>31</v>
      </c>
      <c r="B9" s="463" t="s">
        <v>389</v>
      </c>
      <c r="C9" s="468"/>
      <c r="D9" s="469"/>
      <c r="E9" s="469"/>
      <c r="F9" s="469"/>
      <c r="G9" s="470"/>
      <c r="H9" s="483"/>
      <c r="I9" s="471"/>
      <c r="K9" s="487">
        <f t="shared" si="1"/>
        <v>0</v>
      </c>
    </row>
    <row r="10" spans="1:11">
      <c r="A10" t="s">
        <v>390</v>
      </c>
      <c r="B10" s="463" t="s">
        <v>390</v>
      </c>
      <c r="C10" s="468"/>
      <c r="D10" s="469"/>
      <c r="E10" s="469"/>
      <c r="F10" s="469">
        <v>0.2</v>
      </c>
      <c r="G10" s="470">
        <v>0.55000000000000004</v>
      </c>
      <c r="H10" s="483"/>
      <c r="I10" s="471">
        <f t="shared" si="0"/>
        <v>0.75</v>
      </c>
      <c r="J10">
        <v>0.75</v>
      </c>
      <c r="K10" s="487">
        <f t="shared" si="1"/>
        <v>0</v>
      </c>
    </row>
    <row r="11" spans="1:11">
      <c r="A11" t="s">
        <v>33</v>
      </c>
      <c r="B11" s="463" t="s">
        <v>391</v>
      </c>
      <c r="C11" s="468">
        <v>0.15</v>
      </c>
      <c r="D11" s="469">
        <v>0.59</v>
      </c>
      <c r="E11" s="469">
        <v>0.25</v>
      </c>
      <c r="F11" s="469"/>
      <c r="G11" s="470"/>
      <c r="H11" s="483">
        <v>0.01</v>
      </c>
      <c r="I11" s="471">
        <f t="shared" si="0"/>
        <v>1</v>
      </c>
      <c r="J11">
        <v>1</v>
      </c>
      <c r="K11" s="487">
        <f t="shared" si="1"/>
        <v>0</v>
      </c>
    </row>
    <row r="12" spans="1:11">
      <c r="A12" t="s">
        <v>34</v>
      </c>
      <c r="B12" s="463" t="s">
        <v>392</v>
      </c>
      <c r="C12" s="468">
        <v>0.1</v>
      </c>
      <c r="D12" s="469">
        <v>0.28999999999999998</v>
      </c>
      <c r="E12" s="469">
        <v>0.4</v>
      </c>
      <c r="F12" s="469"/>
      <c r="G12" s="470"/>
      <c r="H12" s="483">
        <v>0.01</v>
      </c>
      <c r="I12" s="471">
        <f t="shared" si="0"/>
        <v>0.8</v>
      </c>
      <c r="J12">
        <v>0.8</v>
      </c>
      <c r="K12" s="487">
        <f t="shared" si="1"/>
        <v>0</v>
      </c>
    </row>
    <row r="13" spans="1:11">
      <c r="A13" t="s">
        <v>35</v>
      </c>
      <c r="B13" s="463" t="s">
        <v>393</v>
      </c>
      <c r="C13" s="468">
        <v>0.1</v>
      </c>
      <c r="D13" s="469">
        <v>0.5</v>
      </c>
      <c r="E13" s="469">
        <v>0.25073026489999994</v>
      </c>
      <c r="F13" s="469"/>
      <c r="G13" s="470"/>
      <c r="H13" s="483">
        <v>0.01</v>
      </c>
      <c r="I13" s="471">
        <f t="shared" si="0"/>
        <v>0.86073026489999993</v>
      </c>
      <c r="J13">
        <v>0.86073026489999993</v>
      </c>
      <c r="K13" s="487">
        <f t="shared" si="1"/>
        <v>0</v>
      </c>
    </row>
    <row r="14" spans="1:11">
      <c r="A14" t="s">
        <v>36</v>
      </c>
      <c r="B14" s="463" t="s">
        <v>394</v>
      </c>
      <c r="C14" s="468">
        <v>0.15</v>
      </c>
      <c r="D14" s="469">
        <v>0.4</v>
      </c>
      <c r="E14" s="469">
        <v>0.44</v>
      </c>
      <c r="F14" s="469"/>
      <c r="G14" s="470"/>
      <c r="H14" s="483">
        <v>0.01</v>
      </c>
      <c r="I14" s="471">
        <f t="shared" si="0"/>
        <v>1</v>
      </c>
      <c r="J14">
        <v>1</v>
      </c>
      <c r="K14" s="487">
        <f t="shared" si="1"/>
        <v>0</v>
      </c>
    </row>
    <row r="15" spans="1:11">
      <c r="A15" t="s">
        <v>37</v>
      </c>
      <c r="B15" s="463" t="s">
        <v>395</v>
      </c>
      <c r="C15" s="468">
        <v>0.25</v>
      </c>
      <c r="D15" s="469">
        <v>0.25</v>
      </c>
      <c r="E15" s="469">
        <v>0.39644754311469999</v>
      </c>
      <c r="F15" s="469"/>
      <c r="G15" s="470"/>
      <c r="H15" s="483">
        <v>0.1035524568853</v>
      </c>
      <c r="I15" s="471">
        <f t="shared" si="0"/>
        <v>1</v>
      </c>
      <c r="J15">
        <v>1</v>
      </c>
      <c r="K15" s="487">
        <f t="shared" si="1"/>
        <v>0</v>
      </c>
    </row>
    <row r="16" spans="1:11">
      <c r="A16" t="s">
        <v>38</v>
      </c>
      <c r="B16" s="463" t="s">
        <v>396</v>
      </c>
      <c r="C16" s="468">
        <v>0.43659999999999999</v>
      </c>
      <c r="D16" s="469">
        <v>0.3</v>
      </c>
      <c r="E16" s="469">
        <v>0.15</v>
      </c>
      <c r="F16" s="469">
        <v>3.6320000000000005E-2</v>
      </c>
      <c r="G16" s="470">
        <v>9.0800000000000013E-3</v>
      </c>
      <c r="H16" s="483"/>
      <c r="I16" s="471">
        <f t="shared" si="0"/>
        <v>0.93199999999999994</v>
      </c>
      <c r="J16">
        <v>0.93199999999999994</v>
      </c>
      <c r="K16" s="487">
        <f t="shared" si="1"/>
        <v>0</v>
      </c>
    </row>
    <row r="17" spans="1:11">
      <c r="A17" t="s">
        <v>39</v>
      </c>
      <c r="B17" s="463" t="s">
        <v>397</v>
      </c>
      <c r="C17" s="468">
        <v>0.10946953000000004</v>
      </c>
      <c r="D17" s="469">
        <v>0.2</v>
      </c>
      <c r="E17" s="469">
        <v>0.2</v>
      </c>
      <c r="F17" s="469">
        <v>3.1479999999999994E-2</v>
      </c>
      <c r="G17" s="470">
        <v>7.8699999999999985E-3</v>
      </c>
      <c r="H17" s="483">
        <v>5.0000000000000001E-3</v>
      </c>
      <c r="I17" s="471">
        <f t="shared" si="0"/>
        <v>0.55381953000000006</v>
      </c>
      <c r="J17">
        <v>0.55381953000000006</v>
      </c>
      <c r="K17" s="487">
        <f t="shared" si="1"/>
        <v>0</v>
      </c>
    </row>
    <row r="18" spans="1:11">
      <c r="A18" t="s">
        <v>40</v>
      </c>
      <c r="B18" s="463" t="s">
        <v>398</v>
      </c>
      <c r="C18" s="468"/>
      <c r="D18" s="469"/>
      <c r="E18" s="469"/>
      <c r="F18" s="469"/>
      <c r="G18" s="470"/>
      <c r="H18" s="483"/>
      <c r="I18" s="471">
        <f t="shared" si="0"/>
        <v>0</v>
      </c>
      <c r="J18">
        <v>0</v>
      </c>
      <c r="K18" s="487">
        <f t="shared" si="1"/>
        <v>0</v>
      </c>
    </row>
    <row r="19" spans="1:11">
      <c r="A19" t="s">
        <v>32</v>
      </c>
      <c r="B19" s="463" t="s">
        <v>399</v>
      </c>
      <c r="C19" s="472"/>
      <c r="D19" s="473"/>
      <c r="E19" s="473"/>
      <c r="F19" s="473"/>
      <c r="G19" s="474"/>
      <c r="H19" s="484"/>
      <c r="I19" s="471"/>
      <c r="K19" s="487">
        <f t="shared" si="1"/>
        <v>0</v>
      </c>
    </row>
    <row r="20" spans="1:11" ht="13.5" thickBot="1">
      <c r="A20" t="s">
        <v>400</v>
      </c>
      <c r="B20" s="463" t="s">
        <v>401</v>
      </c>
      <c r="C20" s="472">
        <v>0.25</v>
      </c>
      <c r="D20" s="473"/>
      <c r="E20" s="473"/>
      <c r="F20" s="473"/>
      <c r="G20" s="474"/>
      <c r="H20" s="485"/>
      <c r="I20" s="475">
        <f t="shared" si="0"/>
        <v>0.25</v>
      </c>
      <c r="J20">
        <v>0.25</v>
      </c>
      <c r="K20" s="487">
        <f t="shared" si="1"/>
        <v>0</v>
      </c>
    </row>
    <row r="21" spans="1:11" ht="13.5" thickBot="1">
      <c r="B21" s="479" t="s">
        <v>220</v>
      </c>
      <c r="C21" s="476">
        <f t="shared" ref="C21:I21" si="2">SUM(C5:C19)</f>
        <v>1.5320695300000002</v>
      </c>
      <c r="D21" s="477">
        <f t="shared" si="2"/>
        <v>3.08</v>
      </c>
      <c r="E21" s="477">
        <f t="shared" si="2"/>
        <v>2.7955579745147001</v>
      </c>
      <c r="F21" s="477">
        <f t="shared" si="2"/>
        <v>0.53779999999999994</v>
      </c>
      <c r="G21" s="477">
        <f t="shared" si="2"/>
        <v>0.66695000000000004</v>
      </c>
      <c r="H21" s="481">
        <f t="shared" si="2"/>
        <v>0.41456157038529995</v>
      </c>
      <c r="I21" s="478">
        <f t="shared" si="2"/>
        <v>9.0269390748999996</v>
      </c>
      <c r="J21">
        <f>SUM(J5:J20)</f>
        <v>9.2769390748999996</v>
      </c>
      <c r="K21" s="487">
        <f t="shared" si="1"/>
        <v>0.25</v>
      </c>
    </row>
    <row r="22" spans="1:11">
      <c r="C22" s="488">
        <f t="shared" ref="C22:H22" si="3">C21/$I$21</f>
        <v>0.16972193091011556</v>
      </c>
      <c r="D22" s="488">
        <f t="shared" si="3"/>
        <v>0.34120092917921019</v>
      </c>
      <c r="E22" s="488">
        <f t="shared" si="3"/>
        <v>0.30969057742817097</v>
      </c>
      <c r="F22" s="488">
        <f t="shared" si="3"/>
        <v>5.9577227179408838E-2</v>
      </c>
      <c r="G22" s="488">
        <f t="shared" si="3"/>
        <v>7.388440250521891E-2</v>
      </c>
      <c r="H22" s="488">
        <f t="shared" si="3"/>
        <v>4.5924932797875614E-2</v>
      </c>
    </row>
  </sheetData>
  <conditionalFormatting sqref="K5:K20">
    <cfRule type="cellIs" dxfId="0" priority="3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21"/>
  <sheetViews>
    <sheetView topLeftCell="A37" zoomScale="50" zoomScaleNormal="50" zoomScaleSheetLayoutView="35" workbookViewId="0">
      <selection activeCell="F40" sqref="F40"/>
    </sheetView>
  </sheetViews>
  <sheetFormatPr baseColWidth="10" defaultColWidth="11.42578125" defaultRowHeight="20.25"/>
  <cols>
    <col min="1" max="1" width="74.28515625" style="1" customWidth="1"/>
    <col min="2" max="2" width="26" style="15" customWidth="1"/>
    <col min="3" max="3" width="23.140625" style="15" hidden="1" customWidth="1"/>
    <col min="4" max="4" width="23.140625" hidden="1" customWidth="1"/>
    <col min="5" max="5" width="27.140625" customWidth="1"/>
    <col min="6" max="6" width="27.85546875" customWidth="1"/>
    <col min="7" max="7" width="25.85546875" customWidth="1"/>
    <col min="8" max="8" width="27.5703125" customWidth="1"/>
    <col min="9" max="9" width="1.28515625" customWidth="1"/>
    <col min="10" max="10" width="24.5703125" style="12" customWidth="1"/>
    <col min="11" max="11" width="31.28515625" style="12" bestFit="1" customWidth="1"/>
    <col min="12" max="12" width="23" style="12" customWidth="1"/>
    <col min="13" max="13" width="23.7109375" style="12" customWidth="1"/>
    <col min="14" max="14" width="23.42578125" style="12" hidden="1" customWidth="1"/>
    <col min="15" max="15" width="23.7109375" style="12" hidden="1" customWidth="1"/>
    <col min="16" max="16" width="27.140625" style="10" customWidth="1"/>
    <col min="17" max="17" width="1.42578125" style="10" customWidth="1"/>
    <col min="18" max="18" width="24" style="12" customWidth="1"/>
    <col min="19" max="19" width="24.28515625" hidden="1" customWidth="1"/>
    <col min="20" max="20" width="24.85546875" customWidth="1"/>
    <col min="21" max="21" width="24" customWidth="1"/>
    <col min="22" max="22" width="24.42578125" customWidth="1"/>
    <col min="23" max="23" width="1.28515625" style="3" customWidth="1"/>
    <col min="24" max="24" width="34" customWidth="1"/>
    <col min="25" max="25" width="26.5703125" customWidth="1"/>
    <col min="26" max="26" width="26.28515625" bestFit="1" customWidth="1"/>
    <col min="27" max="27" width="23.7109375" bestFit="1" customWidth="1"/>
    <col min="28" max="28" width="28.42578125" bestFit="1" customWidth="1"/>
    <col min="29" max="29" width="17.7109375" customWidth="1"/>
    <col min="30" max="30" width="17.7109375" bestFit="1" customWidth="1"/>
    <col min="31" max="31" width="20.5703125" bestFit="1" customWidth="1"/>
  </cols>
  <sheetData>
    <row r="1" spans="1:31" ht="45" thickBot="1">
      <c r="A1" s="1935" t="s">
        <v>125</v>
      </c>
      <c r="B1" s="1936"/>
      <c r="C1" s="1936"/>
      <c r="D1" s="1936"/>
      <c r="E1" s="1936"/>
      <c r="F1" s="1936"/>
      <c r="G1" s="1936"/>
      <c r="H1" s="1936"/>
      <c r="I1" s="1936"/>
      <c r="J1" s="1936"/>
      <c r="K1" s="1936"/>
      <c r="L1" s="1936"/>
      <c r="M1" s="1936"/>
      <c r="N1" s="1936"/>
      <c r="O1" s="1936"/>
      <c r="P1" s="1936"/>
      <c r="Q1" s="1936"/>
      <c r="R1" s="1936"/>
      <c r="S1" s="1936"/>
      <c r="T1" s="1936"/>
      <c r="U1" s="1936"/>
      <c r="V1" s="1936"/>
      <c r="W1" s="1936"/>
      <c r="X1" s="1936"/>
    </row>
    <row r="2" spans="1:31" ht="16.5" customHeight="1">
      <c r="A2" s="1937" t="s">
        <v>126</v>
      </c>
      <c r="B2" s="1940" t="s">
        <v>127</v>
      </c>
      <c r="C2" s="1941"/>
      <c r="D2" s="1941"/>
      <c r="E2" s="1941"/>
      <c r="F2" s="1941"/>
      <c r="G2" s="1941"/>
      <c r="H2" s="1942"/>
      <c r="I2" s="580"/>
      <c r="J2" s="1952" t="s">
        <v>128</v>
      </c>
      <c r="K2" s="1952"/>
      <c r="L2" s="1952"/>
      <c r="M2" s="1952"/>
      <c r="N2" s="1952"/>
      <c r="O2" s="1952"/>
      <c r="P2" s="1952"/>
      <c r="Q2" s="323"/>
      <c r="R2" s="1955" t="s">
        <v>129</v>
      </c>
      <c r="S2" s="1955"/>
      <c r="T2" s="1955"/>
      <c r="U2" s="1955"/>
      <c r="V2" s="1955"/>
      <c r="W2" s="580"/>
      <c r="X2" s="1949" t="s">
        <v>130</v>
      </c>
    </row>
    <row r="3" spans="1:31" ht="35.25" customHeight="1">
      <c r="A3" s="1938"/>
      <c r="B3" s="1943"/>
      <c r="C3" s="1944"/>
      <c r="D3" s="1944"/>
      <c r="E3" s="1944"/>
      <c r="F3" s="1944"/>
      <c r="G3" s="1944"/>
      <c r="H3" s="1945"/>
      <c r="I3" s="581"/>
      <c r="J3" s="1953"/>
      <c r="K3" s="1953"/>
      <c r="L3" s="1953"/>
      <c r="M3" s="1953"/>
      <c r="N3" s="1953"/>
      <c r="O3" s="1953"/>
      <c r="P3" s="1953"/>
      <c r="Q3" s="324"/>
      <c r="R3" s="1956"/>
      <c r="S3" s="1956"/>
      <c r="T3" s="1956"/>
      <c r="U3" s="1956"/>
      <c r="V3" s="1956"/>
      <c r="W3" s="581"/>
      <c r="X3" s="1950"/>
      <c r="AA3" s="28">
        <v>980</v>
      </c>
      <c r="AB3" s="28">
        <v>934505</v>
      </c>
      <c r="AC3" s="28">
        <f>AB3/AA3</f>
        <v>953.57653061224494</v>
      </c>
      <c r="AD3" s="28">
        <f>AC3*21</f>
        <v>20025.107142857145</v>
      </c>
    </row>
    <row r="4" spans="1:31" ht="41.25" customHeight="1" thickBot="1">
      <c r="A4" s="1938"/>
      <c r="B4" s="1946"/>
      <c r="C4" s="1947"/>
      <c r="D4" s="1947"/>
      <c r="E4" s="1947"/>
      <c r="F4" s="1947"/>
      <c r="G4" s="1947"/>
      <c r="H4" s="1948"/>
      <c r="I4" s="581"/>
      <c r="J4" s="1954"/>
      <c r="K4" s="1954"/>
      <c r="L4" s="1954"/>
      <c r="M4" s="1954"/>
      <c r="N4" s="1954"/>
      <c r="O4" s="1954"/>
      <c r="P4" s="1954"/>
      <c r="Q4" s="324"/>
      <c r="R4" s="1957"/>
      <c r="S4" s="1957"/>
      <c r="T4" s="1957"/>
      <c r="U4" s="1957"/>
      <c r="V4" s="1957"/>
      <c r="W4" s="581"/>
      <c r="X4" s="1950"/>
      <c r="Y4" s="96">
        <f>(102000-27000)</f>
        <v>75000</v>
      </c>
      <c r="AA4" s="28"/>
      <c r="AB4" s="28"/>
    </row>
    <row r="5" spans="1:31" s="1" customFormat="1" ht="124.9" customHeight="1" thickBot="1">
      <c r="A5" s="1939"/>
      <c r="B5" s="426" t="s">
        <v>2</v>
      </c>
      <c r="C5" s="364" t="s">
        <v>131</v>
      </c>
      <c r="D5" s="343" t="s">
        <v>132</v>
      </c>
      <c r="E5" s="445" t="s">
        <v>133</v>
      </c>
      <c r="F5" s="427" t="s">
        <v>134</v>
      </c>
      <c r="G5" s="427" t="str">
        <f>'Dépenses BP 2017'!Q5</f>
        <v>XX</v>
      </c>
      <c r="H5" s="417" t="s">
        <v>5</v>
      </c>
      <c r="I5" s="581"/>
      <c r="J5" s="428" t="s">
        <v>135</v>
      </c>
      <c r="K5" s="429" t="s">
        <v>136</v>
      </c>
      <c r="L5" s="429" t="s">
        <v>137</v>
      </c>
      <c r="M5" s="429" t="s">
        <v>9</v>
      </c>
      <c r="N5" s="407" t="s">
        <v>10</v>
      </c>
      <c r="O5" s="408" t="s">
        <v>11</v>
      </c>
      <c r="P5" s="409" t="s">
        <v>12</v>
      </c>
      <c r="Q5" s="378"/>
      <c r="R5" s="430" t="s">
        <v>13</v>
      </c>
      <c r="S5" s="431" t="s">
        <v>138</v>
      </c>
      <c r="T5" s="431" t="s">
        <v>15</v>
      </c>
      <c r="U5" s="432" t="s">
        <v>139</v>
      </c>
      <c r="V5" s="365" t="s">
        <v>17</v>
      </c>
      <c r="W5" s="581"/>
      <c r="X5" s="1951"/>
    </row>
    <row r="6" spans="1:31" s="6" customFormat="1" ht="33.950000000000003" customHeight="1">
      <c r="A6" s="223" t="s">
        <v>140</v>
      </c>
      <c r="B6" s="357">
        <f>SUM(B7:D18)</f>
        <v>10379.56</v>
      </c>
      <c r="C6" s="437">
        <f t="shared" ref="C6:G6" si="0">SUM(C7:C12)</f>
        <v>0</v>
      </c>
      <c r="D6" s="344">
        <f t="shared" si="0"/>
        <v>0</v>
      </c>
      <c r="E6" s="446">
        <f>SUM(E7:E18)</f>
        <v>11752.44</v>
      </c>
      <c r="F6" s="1541">
        <f>SUM(F7:F18)</f>
        <v>50139.48</v>
      </c>
      <c r="G6" s="1548">
        <f t="shared" si="0"/>
        <v>13835.89</v>
      </c>
      <c r="H6" s="310">
        <f>SUM(H7:I18)</f>
        <v>86107.37</v>
      </c>
      <c r="I6" s="581"/>
      <c r="J6" s="391">
        <f>SUM(J7:J18)</f>
        <v>189466.15221005163</v>
      </c>
      <c r="K6" s="360">
        <f>SUM(K7:K18)</f>
        <v>192000</v>
      </c>
      <c r="L6" s="360">
        <f>SUM(L7:L18)</f>
        <v>10000</v>
      </c>
      <c r="M6" s="360">
        <f>SUM(M7:O18)</f>
        <v>0</v>
      </c>
      <c r="N6" s="361">
        <f t="shared" ref="N6:O6" si="1">SUM(N7:N17)</f>
        <v>0</v>
      </c>
      <c r="O6" s="362">
        <f t="shared" si="1"/>
        <v>0</v>
      </c>
      <c r="P6" s="363">
        <f>SUM(P7:P18)</f>
        <v>391466.15221005166</v>
      </c>
      <c r="Q6" s="379"/>
      <c r="R6" s="358">
        <f>SUM(R7:S18)</f>
        <v>12000</v>
      </c>
      <c r="S6" s="359">
        <f t="shared" ref="S6" si="2">SUM(S7:S17)</f>
        <v>0</v>
      </c>
      <c r="T6" s="359">
        <f>SUM(T7:T18)</f>
        <v>30000</v>
      </c>
      <c r="U6" s="1504">
        <f>SUM(U7:U18)</f>
        <v>0</v>
      </c>
      <c r="V6" s="363">
        <f>SUM(V7:V18)</f>
        <v>42000</v>
      </c>
      <c r="W6" s="581"/>
      <c r="X6" s="402">
        <f>SUM(X7:X18)</f>
        <v>519573.5222100516</v>
      </c>
      <c r="Y6" s="151" t="str">
        <f>A6</f>
        <v>ETAT/DIRECCTE</v>
      </c>
      <c r="Z6" s="13"/>
      <c r="AA6" s="13"/>
      <c r="AB6" s="224">
        <f>V6+P6+H6</f>
        <v>519573.52221005165</v>
      </c>
      <c r="AC6" s="8">
        <f>AB6-X6</f>
        <v>0</v>
      </c>
      <c r="AD6" s="225"/>
    </row>
    <row r="7" spans="1:31" s="6" customFormat="1" ht="27.75" customHeight="1">
      <c r="A7" s="261" t="s">
        <v>141</v>
      </c>
      <c r="B7" s="354"/>
      <c r="C7" s="438"/>
      <c r="D7" s="345"/>
      <c r="E7" s="447">
        <v>11752.44</v>
      </c>
      <c r="F7" s="345">
        <v>46139.48</v>
      </c>
      <c r="G7" s="147">
        <v>13835.89</v>
      </c>
      <c r="H7" s="387">
        <v>71727.81</v>
      </c>
      <c r="I7" s="581"/>
      <c r="J7" s="392"/>
      <c r="K7" s="154"/>
      <c r="L7" s="154"/>
      <c r="M7" s="154"/>
      <c r="N7" s="154"/>
      <c r="O7" s="175"/>
      <c r="P7" s="410"/>
      <c r="Q7" s="380"/>
      <c r="R7" s="331"/>
      <c r="S7" s="332"/>
      <c r="T7" s="332"/>
      <c r="U7" s="333"/>
      <c r="V7" s="366"/>
      <c r="W7" s="581"/>
      <c r="X7" s="404">
        <f t="shared" ref="X7:X14" si="3">H7+P7+V7</f>
        <v>71727.81</v>
      </c>
      <c r="Y7" s="37" t="str">
        <f>A7</f>
        <v>CPO MEF – Fonctionnement</v>
      </c>
      <c r="Z7" s="13"/>
      <c r="AA7" s="13"/>
      <c r="AB7" s="224">
        <f>V7+P7+H7</f>
        <v>71727.81</v>
      </c>
      <c r="AC7" s="8">
        <f>AB7-X7</f>
        <v>0</v>
      </c>
    </row>
    <row r="8" spans="1:31" s="6" customFormat="1" ht="27.75" customHeight="1">
      <c r="A8" s="261" t="s">
        <v>142</v>
      </c>
      <c r="B8" s="354"/>
      <c r="C8" s="438"/>
      <c r="D8" s="345"/>
      <c r="E8" s="448"/>
      <c r="F8" s="346"/>
      <c r="G8" s="147"/>
      <c r="H8" s="387">
        <f>B8+E8+F8+G8</f>
        <v>0</v>
      </c>
      <c r="I8" s="581"/>
      <c r="J8" s="392"/>
      <c r="K8" s="154"/>
      <c r="L8" s="154"/>
      <c r="M8" s="154"/>
      <c r="N8" s="154"/>
      <c r="O8" s="175"/>
      <c r="P8" s="410"/>
      <c r="Q8" s="380"/>
      <c r="R8" s="331"/>
      <c r="S8" s="332"/>
      <c r="T8" s="332"/>
      <c r="U8" s="333"/>
      <c r="V8" s="366"/>
      <c r="W8" s="581"/>
      <c r="X8" s="404">
        <f t="shared" si="3"/>
        <v>0</v>
      </c>
      <c r="Y8" s="37" t="str">
        <f>A8</f>
        <v>Fonds spécifiques clauses sociales</v>
      </c>
      <c r="Z8" s="13"/>
      <c r="AA8" s="13"/>
      <c r="AB8" s="224">
        <f>V8+P8+H8</f>
        <v>0</v>
      </c>
      <c r="AC8" s="8">
        <f>AB8-X8</f>
        <v>0</v>
      </c>
    </row>
    <row r="9" spans="1:31" s="6" customFormat="1" ht="28.35" customHeight="1">
      <c r="A9" s="261" t="s">
        <v>143</v>
      </c>
      <c r="B9" s="354"/>
      <c r="C9" s="439"/>
      <c r="D9" s="346"/>
      <c r="E9" s="448"/>
      <c r="F9" s="346"/>
      <c r="G9" s="338"/>
      <c r="H9" s="568"/>
      <c r="I9" s="577"/>
      <c r="J9" s="393">
        <v>183366.15221005163</v>
      </c>
      <c r="K9" s="330"/>
      <c r="L9" s="330"/>
      <c r="M9" s="155"/>
      <c r="N9" s="155"/>
      <c r="O9" s="175"/>
      <c r="P9" s="307">
        <f>SUM(J9:O9)</f>
        <v>183366.15221005163</v>
      </c>
      <c r="Q9" s="380"/>
      <c r="R9" s="313"/>
      <c r="S9" s="157"/>
      <c r="T9" s="157"/>
      <c r="U9" s="172"/>
      <c r="V9" s="366"/>
      <c r="W9" s="577"/>
      <c r="X9" s="404">
        <f t="shared" si="3"/>
        <v>183366.15221005163</v>
      </c>
      <c r="Y9" s="37" t="str">
        <f t="shared" ref="Y9:Y46" si="4">A9</f>
        <v>CPO ML - "socle"</v>
      </c>
      <c r="Z9" s="13"/>
      <c r="AA9" s="13"/>
      <c r="AB9" s="224">
        <f>V9+P9+H9</f>
        <v>183366.15221005163</v>
      </c>
      <c r="AC9" s="8">
        <f t="shared" ref="AC9:AC30" si="5">AB9-X9</f>
        <v>0</v>
      </c>
      <c r="AD9" s="228">
        <v>189920.46594925396</v>
      </c>
      <c r="AE9" s="570">
        <f>AB9-AD9</f>
        <v>-6554.3137392023345</v>
      </c>
    </row>
    <row r="10" spans="1:31" s="6" customFormat="1" ht="28.35" customHeight="1">
      <c r="A10" s="261" t="s">
        <v>144</v>
      </c>
      <c r="B10" s="354"/>
      <c r="C10" s="439"/>
      <c r="D10" s="346"/>
      <c r="E10" s="448"/>
      <c r="F10" s="346"/>
      <c r="G10" s="338"/>
      <c r="H10" s="568"/>
      <c r="I10" s="577"/>
      <c r="J10" s="393">
        <f>305*20</f>
        <v>6100</v>
      </c>
      <c r="K10" s="330"/>
      <c r="L10" s="330"/>
      <c r="M10" s="155"/>
      <c r="N10" s="155"/>
      <c r="O10" s="176"/>
      <c r="P10" s="307">
        <f>SUM(J10:O10)</f>
        <v>6100</v>
      </c>
      <c r="Q10" s="380"/>
      <c r="R10" s="312"/>
      <c r="S10" s="157"/>
      <c r="T10" s="157"/>
      <c r="U10" s="172"/>
      <c r="V10" s="366"/>
      <c r="W10" s="577"/>
      <c r="X10" s="404">
        <f t="shared" si="3"/>
        <v>6100</v>
      </c>
      <c r="Y10" s="37" t="str">
        <f t="shared" si="4"/>
        <v>Parrainage</v>
      </c>
      <c r="Z10" s="13"/>
      <c r="AA10" s="13"/>
      <c r="AB10" s="224"/>
      <c r="AC10" s="8"/>
      <c r="AE10" s="570"/>
    </row>
    <row r="11" spans="1:31" s="6" customFormat="1" ht="28.35" customHeight="1">
      <c r="A11" s="261" t="s">
        <v>145</v>
      </c>
      <c r="B11" s="354"/>
      <c r="C11" s="439"/>
      <c r="D11" s="346"/>
      <c r="E11" s="448"/>
      <c r="F11" s="346"/>
      <c r="G11" s="338"/>
      <c r="H11" s="568"/>
      <c r="I11" s="577"/>
      <c r="J11" s="394"/>
      <c r="K11" s="330"/>
      <c r="L11" s="330"/>
      <c r="M11" s="155"/>
      <c r="N11" s="155"/>
      <c r="O11" s="176"/>
      <c r="P11" s="410"/>
      <c r="Q11" s="380"/>
      <c r="R11" s="334">
        <v>12000</v>
      </c>
      <c r="S11" s="157"/>
      <c r="T11" s="335">
        <v>10000</v>
      </c>
      <c r="U11" s="172"/>
      <c r="V11" s="325">
        <f>SUM(R11:U11)</f>
        <v>22000</v>
      </c>
      <c r="W11" s="577"/>
      <c r="X11" s="404">
        <f t="shared" si="3"/>
        <v>22000</v>
      </c>
      <c r="Y11" s="37" t="str">
        <f t="shared" si="4"/>
        <v>Convention « Promotion de l'emploi »</v>
      </c>
      <c r="Z11" s="13"/>
      <c r="AA11" s="13"/>
      <c r="AB11" s="224">
        <f>V11+P11+H11</f>
        <v>22000</v>
      </c>
      <c r="AC11" s="8">
        <f t="shared" si="5"/>
        <v>0</v>
      </c>
      <c r="AE11" s="570"/>
    </row>
    <row r="12" spans="1:31" s="6" customFormat="1" ht="28.35" customHeight="1">
      <c r="A12" s="261" t="s">
        <v>2</v>
      </c>
      <c r="B12" s="447">
        <v>10379.56</v>
      </c>
      <c r="C12" s="439"/>
      <c r="D12" s="346"/>
      <c r="E12" s="448"/>
      <c r="F12" s="346"/>
      <c r="G12" s="338"/>
      <c r="H12" s="456">
        <f>B12+E12+F12+G12</f>
        <v>10379.56</v>
      </c>
      <c r="I12" s="577"/>
      <c r="J12" s="394"/>
      <c r="K12" s="330"/>
      <c r="L12" s="330"/>
      <c r="M12" s="155"/>
      <c r="N12" s="155"/>
      <c r="O12" s="176"/>
      <c r="P12" s="410"/>
      <c r="Q12" s="380"/>
      <c r="R12" s="312"/>
      <c r="S12" s="157"/>
      <c r="T12" s="157"/>
      <c r="U12" s="172"/>
      <c r="V12" s="366"/>
      <c r="W12" s="577"/>
      <c r="X12" s="404">
        <f t="shared" si="3"/>
        <v>10379.56</v>
      </c>
      <c r="Y12" s="37" t="str">
        <f t="shared" si="4"/>
        <v>Appel à projet GPEC-T</v>
      </c>
      <c r="Z12" s="13"/>
      <c r="AA12" s="13"/>
      <c r="AB12" s="224"/>
      <c r="AC12" s="8"/>
      <c r="AE12" s="570"/>
    </row>
    <row r="13" spans="1:31" s="6" customFormat="1" ht="27.75" customHeight="1">
      <c r="A13" s="261" t="s">
        <v>146</v>
      </c>
      <c r="B13" s="354"/>
      <c r="C13" s="439"/>
      <c r="D13" s="346"/>
      <c r="E13" s="448"/>
      <c r="F13" s="1542"/>
      <c r="G13" s="338"/>
      <c r="H13" s="568"/>
      <c r="I13" s="577"/>
      <c r="J13" s="394"/>
      <c r="K13" s="330"/>
      <c r="L13" s="330"/>
      <c r="M13" s="155"/>
      <c r="N13" s="155"/>
      <c r="O13" s="176"/>
      <c r="P13" s="410"/>
      <c r="Q13" s="380"/>
      <c r="R13" s="312"/>
      <c r="S13" s="157"/>
      <c r="T13" s="335">
        <v>20000</v>
      </c>
      <c r="U13" s="172"/>
      <c r="V13" s="325">
        <f>SUM(R13:U13)</f>
        <v>20000</v>
      </c>
      <c r="W13" s="577"/>
      <c r="X13" s="404">
        <f t="shared" si="3"/>
        <v>20000</v>
      </c>
      <c r="Y13" s="37" t="str">
        <f t="shared" si="4"/>
        <v>GPEC territoriale - EDEC</v>
      </c>
      <c r="Z13" s="13"/>
      <c r="AA13" s="13"/>
      <c r="AB13" s="224"/>
      <c r="AC13" s="8"/>
      <c r="AE13" s="570"/>
    </row>
    <row r="14" spans="1:31" s="6" customFormat="1" ht="27.75" customHeight="1">
      <c r="A14" s="261" t="s">
        <v>137</v>
      </c>
      <c r="B14" s="354"/>
      <c r="C14" s="439"/>
      <c r="D14" s="346"/>
      <c r="E14" s="448"/>
      <c r="F14" s="1542"/>
      <c r="G14" s="338"/>
      <c r="H14" s="568"/>
      <c r="I14" s="577"/>
      <c r="J14" s="394"/>
      <c r="K14" s="600"/>
      <c r="L14" s="209">
        <v>10000</v>
      </c>
      <c r="M14" s="155"/>
      <c r="N14" s="155"/>
      <c r="O14" s="176"/>
      <c r="P14" s="307">
        <f>SUM(K14:O14)</f>
        <v>10000</v>
      </c>
      <c r="Q14" s="380"/>
      <c r="R14" s="313"/>
      <c r="S14" s="157"/>
      <c r="T14" s="157"/>
      <c r="U14" s="172"/>
      <c r="V14" s="366"/>
      <c r="W14" s="577"/>
      <c r="X14" s="404">
        <f t="shared" si="3"/>
        <v>10000</v>
      </c>
      <c r="Y14" s="14" t="str">
        <f t="shared" si="4"/>
        <v>Emploi d'Avenir</v>
      </c>
      <c r="Z14" s="7"/>
      <c r="AA14" s="7"/>
      <c r="AB14" s="224">
        <f t="shared" ref="AB14:AB36" si="6">V14+P14+H14</f>
        <v>10000</v>
      </c>
      <c r="AC14" s="8">
        <f t="shared" si="5"/>
        <v>0</v>
      </c>
      <c r="AE14" s="570"/>
    </row>
    <row r="15" spans="1:31" ht="23.25">
      <c r="A15" s="265" t="s">
        <v>9</v>
      </c>
      <c r="B15" s="146"/>
      <c r="C15" s="447"/>
      <c r="D15" s="447"/>
      <c r="E15" s="140"/>
      <c r="F15" s="348"/>
      <c r="G15" s="148"/>
      <c r="H15" s="567"/>
      <c r="I15" s="374"/>
      <c r="J15" s="399"/>
      <c r="K15" s="164"/>
      <c r="L15" s="397"/>
      <c r="M15" s="398">
        <v>0</v>
      </c>
      <c r="N15" s="165"/>
      <c r="O15" s="337"/>
      <c r="P15" s="307">
        <f>SUM(J15:O15)</f>
        <v>0</v>
      </c>
      <c r="Q15" s="382"/>
      <c r="R15" s="315"/>
      <c r="S15" s="157"/>
      <c r="T15" s="157"/>
      <c r="U15" s="172"/>
      <c r="V15" s="366"/>
      <c r="W15" s="374"/>
      <c r="X15" s="404">
        <f t="shared" ref="X15:X18" si="7">H15+P15+V15</f>
        <v>0</v>
      </c>
      <c r="Y15" s="101" t="str">
        <f>A15</f>
        <v>Réussite apprentissage</v>
      </c>
      <c r="Z15" s="7"/>
      <c r="AA15" s="7"/>
      <c r="AB15" s="224"/>
      <c r="AC15" s="8"/>
    </row>
    <row r="16" spans="1:31" s="6" customFormat="1" ht="27.75" customHeight="1">
      <c r="A16" s="261" t="s">
        <v>147</v>
      </c>
      <c r="B16" s="354"/>
      <c r="C16" s="439"/>
      <c r="D16" s="346"/>
      <c r="E16" s="448"/>
      <c r="F16" s="1542"/>
      <c r="G16" s="338"/>
      <c r="H16" s="568"/>
      <c r="I16" s="577"/>
      <c r="J16" s="394"/>
      <c r="K16" s="209"/>
      <c r="L16" s="330"/>
      <c r="M16" s="155"/>
      <c r="N16" s="155"/>
      <c r="O16" s="176"/>
      <c r="P16" s="307">
        <f>SUM(K16:O16)</f>
        <v>0</v>
      </c>
      <c r="Q16" s="380"/>
      <c r="R16" s="313"/>
      <c r="S16" s="157"/>
      <c r="T16" s="157"/>
      <c r="U16" s="172"/>
      <c r="V16" s="366"/>
      <c r="W16" s="577"/>
      <c r="X16" s="404">
        <f t="shared" si="7"/>
        <v>0</v>
      </c>
      <c r="Y16" s="14" t="str">
        <f t="shared" si="4"/>
        <v>Garantie Jeune 2016 (sorties)</v>
      </c>
      <c r="Z16" s="7"/>
      <c r="AA16" s="7"/>
      <c r="AB16" s="224"/>
      <c r="AC16" s="8"/>
      <c r="AE16" s="570"/>
    </row>
    <row r="17" spans="1:31" s="6" customFormat="1" ht="27.75" customHeight="1">
      <c r="A17" s="261" t="s">
        <v>148</v>
      </c>
      <c r="B17" s="354"/>
      <c r="C17" s="439"/>
      <c r="D17" s="346"/>
      <c r="E17" s="448"/>
      <c r="F17" s="1542"/>
      <c r="G17" s="338"/>
      <c r="H17" s="568"/>
      <c r="I17" s="577"/>
      <c r="J17" s="394"/>
      <c r="K17" s="335">
        <f>(1600*(0.8+0.2))*(120)</f>
        <v>192000</v>
      </c>
      <c r="L17" s="330"/>
      <c r="M17" s="155"/>
      <c r="N17" s="155"/>
      <c r="O17" s="176"/>
      <c r="P17" s="307">
        <f>SUM(K17:O17)</f>
        <v>192000</v>
      </c>
      <c r="Q17" s="380"/>
      <c r="R17" s="313"/>
      <c r="S17" s="157"/>
      <c r="T17" s="157"/>
      <c r="U17" s="172"/>
      <c r="V17" s="366"/>
      <c r="W17" s="577"/>
      <c r="X17" s="404">
        <f t="shared" si="7"/>
        <v>192000</v>
      </c>
      <c r="Y17" s="14" t="str">
        <f t="shared" si="4"/>
        <v>Garantie Jeune 2017 (entrées)</v>
      </c>
      <c r="Z17" s="7"/>
      <c r="AA17" s="7"/>
      <c r="AB17" s="224"/>
      <c r="AC17" s="8"/>
      <c r="AE17" s="570"/>
    </row>
    <row r="18" spans="1:31" s="6" customFormat="1" ht="27.75" customHeight="1">
      <c r="A18" s="201" t="s">
        <v>149</v>
      </c>
      <c r="B18" s="563"/>
      <c r="C18" s="442"/>
      <c r="D18" s="345"/>
      <c r="E18" s="448"/>
      <c r="F18" s="345">
        <v>4000</v>
      </c>
      <c r="G18" s="338"/>
      <c r="H18" s="387">
        <f>B18+E18+F18+G18</f>
        <v>4000</v>
      </c>
      <c r="I18" s="375"/>
      <c r="J18" s="397"/>
      <c r="K18" s="165"/>
      <c r="L18" s="165"/>
      <c r="M18" s="398">
        <v>0</v>
      </c>
      <c r="N18" s="165"/>
      <c r="O18" s="180"/>
      <c r="P18" s="307">
        <f t="shared" ref="P18" si="8">SUM(J18:O18)</f>
        <v>0</v>
      </c>
      <c r="Q18" s="380"/>
      <c r="R18" s="315"/>
      <c r="S18" s="562"/>
      <c r="T18" s="157"/>
      <c r="U18" s="172"/>
      <c r="V18" s="366"/>
      <c r="W18" s="375"/>
      <c r="X18" s="404">
        <f t="shared" si="7"/>
        <v>4000</v>
      </c>
      <c r="Y18" s="228" t="str">
        <f t="shared" ref="Y18" si="9">A18</f>
        <v>CGET - Contrat de ville</v>
      </c>
      <c r="Z18" s="228"/>
      <c r="AA18" s="228"/>
      <c r="AB18" s="229"/>
      <c r="AC18" s="17"/>
      <c r="AD18" s="228"/>
      <c r="AE18" s="570"/>
    </row>
    <row r="19" spans="1:31" s="6" customFormat="1" ht="28.35" customHeight="1">
      <c r="A19" s="226" t="s">
        <v>150</v>
      </c>
      <c r="B19" s="355"/>
      <c r="C19" s="440"/>
      <c r="D19" s="347"/>
      <c r="E19" s="449"/>
      <c r="F19" s="182">
        <f>SUM(F20:F23)</f>
        <v>0</v>
      </c>
      <c r="G19" s="149">
        <f>SUM(G20:G23)</f>
        <v>0</v>
      </c>
      <c r="H19" s="308">
        <f>SUM(H20:H23)</f>
        <v>0</v>
      </c>
      <c r="I19" s="577"/>
      <c r="J19" s="395"/>
      <c r="K19" s="158"/>
      <c r="L19" s="158"/>
      <c r="M19" s="158"/>
      <c r="N19" s="158"/>
      <c r="O19" s="177"/>
      <c r="P19" s="308"/>
      <c r="Q19" s="379"/>
      <c r="R19" s="314"/>
      <c r="S19" s="159"/>
      <c r="T19" s="162"/>
      <c r="U19" s="173"/>
      <c r="V19" s="309"/>
      <c r="W19" s="577"/>
      <c r="X19" s="403">
        <f>SUM(X20:X23)</f>
        <v>0</v>
      </c>
      <c r="Y19" s="8" t="str">
        <f t="shared" si="4"/>
        <v>Fonds Social Européen</v>
      </c>
      <c r="Z19" s="7"/>
      <c r="AA19" s="7"/>
      <c r="AB19" s="224">
        <f t="shared" si="6"/>
        <v>0</v>
      </c>
      <c r="AC19" s="8">
        <f t="shared" si="5"/>
        <v>0</v>
      </c>
      <c r="AE19" s="570"/>
    </row>
    <row r="20" spans="1:31" ht="28.35" customHeight="1">
      <c r="A20" s="261" t="s">
        <v>151</v>
      </c>
      <c r="B20" s="146"/>
      <c r="C20" s="439"/>
      <c r="D20" s="348"/>
      <c r="E20" s="140"/>
      <c r="F20" s="348"/>
      <c r="G20" s="148"/>
      <c r="H20" s="569"/>
      <c r="I20" s="374"/>
      <c r="J20" s="396"/>
      <c r="K20" s="160"/>
      <c r="L20" s="161"/>
      <c r="M20" s="161"/>
      <c r="N20" s="161"/>
      <c r="O20" s="178"/>
      <c r="P20" s="410"/>
      <c r="Q20" s="380"/>
      <c r="R20" s="315"/>
      <c r="S20" s="157"/>
      <c r="T20" s="157"/>
      <c r="U20" s="172"/>
      <c r="V20" s="366"/>
      <c r="W20" s="374"/>
      <c r="X20" s="404">
        <f>H20+P20+V20</f>
        <v>0</v>
      </c>
      <c r="Y20" s="14" t="str">
        <f t="shared" si="4"/>
        <v>Projet FSE ML</v>
      </c>
      <c r="Z20" s="7"/>
      <c r="AA20" s="7"/>
      <c r="AB20" s="224">
        <f t="shared" si="6"/>
        <v>0</v>
      </c>
      <c r="AC20" s="8">
        <f t="shared" si="5"/>
        <v>0</v>
      </c>
      <c r="AE20" s="570"/>
    </row>
    <row r="21" spans="1:31" ht="28.35" customHeight="1">
      <c r="A21" s="261" t="s">
        <v>152</v>
      </c>
      <c r="B21" s="146"/>
      <c r="C21" s="439"/>
      <c r="D21" s="348"/>
      <c r="E21" s="140"/>
      <c r="F21" s="348"/>
      <c r="G21" s="148"/>
      <c r="H21" s="569"/>
      <c r="I21" s="374"/>
      <c r="J21" s="396"/>
      <c r="K21" s="160"/>
      <c r="L21" s="161"/>
      <c r="M21" s="161"/>
      <c r="N21" s="161"/>
      <c r="O21" s="178"/>
      <c r="P21" s="410"/>
      <c r="Q21" s="380"/>
      <c r="R21" s="315"/>
      <c r="S21" s="157"/>
      <c r="T21" s="157"/>
      <c r="U21" s="172"/>
      <c r="V21" s="366"/>
      <c r="W21" s="374"/>
      <c r="X21" s="404">
        <f>H21+P21+V21</f>
        <v>0</v>
      </c>
      <c r="Y21" s="7" t="str">
        <f t="shared" si="4"/>
        <v>FSE GPEC-T</v>
      </c>
      <c r="Z21" s="7"/>
      <c r="AA21" s="7"/>
      <c r="AB21" s="224">
        <f t="shared" si="6"/>
        <v>0</v>
      </c>
      <c r="AC21" s="8">
        <f t="shared" si="5"/>
        <v>0</v>
      </c>
      <c r="AE21" s="570"/>
    </row>
    <row r="22" spans="1:31" ht="28.35" customHeight="1">
      <c r="A22" s="261" t="s">
        <v>153</v>
      </c>
      <c r="B22" s="146"/>
      <c r="C22" s="439"/>
      <c r="D22" s="348"/>
      <c r="E22" s="140"/>
      <c r="F22" s="348"/>
      <c r="G22" s="147"/>
      <c r="H22" s="387">
        <f>B22+E22+F22+G22</f>
        <v>0</v>
      </c>
      <c r="I22" s="374"/>
      <c r="J22" s="396"/>
      <c r="K22" s="160"/>
      <c r="L22" s="161"/>
      <c r="M22" s="161"/>
      <c r="N22" s="161"/>
      <c r="O22" s="178"/>
      <c r="P22" s="410"/>
      <c r="Q22" s="380"/>
      <c r="R22" s="315"/>
      <c r="S22" s="157"/>
      <c r="T22" s="157"/>
      <c r="U22" s="172"/>
      <c r="V22" s="366"/>
      <c r="W22" s="374"/>
      <c r="X22" s="404">
        <f>H22+P22+V22</f>
        <v>0</v>
      </c>
      <c r="Y22" s="7"/>
      <c r="Z22" s="7"/>
      <c r="AA22" s="7"/>
      <c r="AB22" s="224"/>
      <c r="AC22" s="8"/>
      <c r="AE22" s="570"/>
    </row>
    <row r="23" spans="1:31" ht="28.35" customHeight="1">
      <c r="A23" s="261" t="s">
        <v>154</v>
      </c>
      <c r="B23" s="146"/>
      <c r="C23" s="439"/>
      <c r="D23" s="348"/>
      <c r="E23" s="140"/>
      <c r="F23" s="348"/>
      <c r="G23" s="148"/>
      <c r="H23" s="387">
        <f>B23+E23+F23+G23</f>
        <v>0</v>
      </c>
      <c r="I23" s="374"/>
      <c r="J23" s="396"/>
      <c r="K23" s="160"/>
      <c r="L23" s="161"/>
      <c r="M23" s="161"/>
      <c r="N23" s="161"/>
      <c r="O23" s="178"/>
      <c r="P23" s="410"/>
      <c r="Q23" s="380"/>
      <c r="R23" s="315"/>
      <c r="S23" s="157"/>
      <c r="T23" s="157"/>
      <c r="U23" s="172"/>
      <c r="V23" s="366"/>
      <c r="W23" s="374"/>
      <c r="X23" s="404">
        <f>H23+P23+V23</f>
        <v>0</v>
      </c>
      <c r="Y23" s="7" t="str">
        <f t="shared" si="4"/>
        <v>FSE-SPRO</v>
      </c>
      <c r="Z23" s="7"/>
      <c r="AA23" s="7"/>
      <c r="AB23" s="224"/>
      <c r="AC23" s="8"/>
      <c r="AE23" s="570"/>
    </row>
    <row r="24" spans="1:31" ht="28.35" customHeight="1">
      <c r="A24" s="226" t="s">
        <v>155</v>
      </c>
      <c r="B24" s="141">
        <f>SUM(B25:B30)</f>
        <v>0</v>
      </c>
      <c r="C24" s="141">
        <f>SUM(C25:C30)</f>
        <v>0</v>
      </c>
      <c r="D24" s="141">
        <f>SUM(D25:D30)</f>
        <v>0</v>
      </c>
      <c r="E24" s="141">
        <f>SUM(E25:E30)</f>
        <v>0</v>
      </c>
      <c r="F24" s="182">
        <f>SUM(F25:F30)</f>
        <v>35450.54</v>
      </c>
      <c r="G24" s="149"/>
      <c r="H24" s="308">
        <f>SUM(H25:H30)</f>
        <v>35450.54</v>
      </c>
      <c r="I24" s="374"/>
      <c r="J24" s="316">
        <f>SUM(J25:J30)</f>
        <v>89494</v>
      </c>
      <c r="K24" s="163"/>
      <c r="L24" s="162"/>
      <c r="M24" s="162"/>
      <c r="N24" s="162">
        <f>SUM(N25:N30)</f>
        <v>0</v>
      </c>
      <c r="O24" s="179">
        <f>SUM(O25:O30)</f>
        <v>0</v>
      </c>
      <c r="P24" s="309">
        <f>SUM(P25:P30)</f>
        <v>89494</v>
      </c>
      <c r="Q24" s="381"/>
      <c r="R24" s="316">
        <f>SUM(R25:R30)</f>
        <v>0</v>
      </c>
      <c r="S24" s="162"/>
      <c r="T24" s="162">
        <f>SUM(T25:T30)</f>
        <v>0</v>
      </c>
      <c r="U24" s="173"/>
      <c r="V24" s="309">
        <f>SUM(V25:V30)</f>
        <v>0</v>
      </c>
      <c r="W24" s="374"/>
      <c r="X24" s="403">
        <f>SUM(X25:X30)</f>
        <v>124944.54000000001</v>
      </c>
      <c r="Y24" s="151" t="str">
        <f t="shared" si="4"/>
        <v xml:space="preserve">Région Poitou-Charentes </v>
      </c>
      <c r="Z24" s="7"/>
      <c r="AA24" s="7"/>
      <c r="AB24" s="224">
        <f t="shared" si="6"/>
        <v>124944.54000000001</v>
      </c>
      <c r="AC24" s="8">
        <f t="shared" si="5"/>
        <v>0</v>
      </c>
      <c r="AE24" s="570"/>
    </row>
    <row r="25" spans="1:31" ht="28.35" customHeight="1">
      <c r="A25" s="261" t="s">
        <v>156</v>
      </c>
      <c r="B25" s="354"/>
      <c r="C25" s="439"/>
      <c r="D25" s="346"/>
      <c r="E25" s="448"/>
      <c r="F25" s="345">
        <v>0</v>
      </c>
      <c r="G25" s="338"/>
      <c r="H25" s="387">
        <f t="shared" ref="H25:H28" si="10">B25+E25+F25+G25</f>
        <v>0</v>
      </c>
      <c r="I25" s="374"/>
      <c r="J25" s="397"/>
      <c r="K25" s="164"/>
      <c r="L25" s="165"/>
      <c r="M25" s="165"/>
      <c r="N25" s="165"/>
      <c r="O25" s="180"/>
      <c r="P25" s="410"/>
      <c r="Q25" s="380"/>
      <c r="R25" s="315"/>
      <c r="S25" s="336"/>
      <c r="T25" s="335"/>
      <c r="U25" s="172"/>
      <c r="V25" s="325">
        <f>SUM(R25:U25)</f>
        <v>0</v>
      </c>
      <c r="W25" s="374"/>
      <c r="X25" s="404">
        <f t="shared" ref="X25:X30" si="11">H25+P25+V25</f>
        <v>0</v>
      </c>
      <c r="Y25" s="14" t="str">
        <f t="shared" si="4"/>
        <v xml:space="preserve">CRDD </v>
      </c>
      <c r="Z25" s="7"/>
      <c r="AA25" s="7"/>
      <c r="AB25" s="224">
        <f t="shared" si="6"/>
        <v>0</v>
      </c>
      <c r="AC25" s="8">
        <f t="shared" si="5"/>
        <v>0</v>
      </c>
      <c r="AE25" s="570"/>
    </row>
    <row r="26" spans="1:31" ht="28.35" customHeight="1">
      <c r="A26" s="261" t="s">
        <v>157</v>
      </c>
      <c r="B26" s="354"/>
      <c r="C26" s="439"/>
      <c r="D26" s="346"/>
      <c r="E26" s="447">
        <v>0</v>
      </c>
      <c r="F26" s="1543"/>
      <c r="G26" s="1561"/>
      <c r="H26" s="387">
        <f t="shared" si="10"/>
        <v>0</v>
      </c>
      <c r="I26" s="374"/>
      <c r="J26" s="397"/>
      <c r="K26" s="164"/>
      <c r="L26" s="165"/>
      <c r="M26" s="165"/>
      <c r="N26" s="165"/>
      <c r="O26" s="180"/>
      <c r="P26" s="410"/>
      <c r="Q26" s="380"/>
      <c r="R26" s="315"/>
      <c r="S26" s="336"/>
      <c r="T26" s="336"/>
      <c r="U26" s="172"/>
      <c r="V26" s="366"/>
      <c r="W26" s="374"/>
      <c r="X26" s="404">
        <f t="shared" si="11"/>
        <v>0</v>
      </c>
      <c r="Y26" s="14" t="str">
        <f t="shared" si="4"/>
        <v>LEADER - innovation / accueil jeunes</v>
      </c>
      <c r="Z26" s="7"/>
      <c r="AA26" s="7"/>
      <c r="AB26" s="224"/>
      <c r="AC26" s="8"/>
      <c r="AE26" s="570"/>
    </row>
    <row r="27" spans="1:31" ht="28.35" customHeight="1">
      <c r="A27" s="261" t="s">
        <v>158</v>
      </c>
      <c r="B27" s="354"/>
      <c r="C27" s="439"/>
      <c r="D27" s="346"/>
      <c r="E27" s="448"/>
      <c r="F27" s="345">
        <v>29450.54</v>
      </c>
      <c r="G27" s="338"/>
      <c r="H27" s="387">
        <f t="shared" si="10"/>
        <v>29450.54</v>
      </c>
      <c r="I27" s="374"/>
      <c r="J27" s="397"/>
      <c r="K27" s="164"/>
      <c r="L27" s="165"/>
      <c r="M27" s="165"/>
      <c r="N27" s="165"/>
      <c r="O27" s="180"/>
      <c r="P27" s="410"/>
      <c r="Q27" s="380"/>
      <c r="R27" s="315"/>
      <c r="S27" s="336"/>
      <c r="T27" s="336"/>
      <c r="U27" s="172"/>
      <c r="V27" s="366"/>
      <c r="W27" s="374"/>
      <c r="X27" s="404">
        <f t="shared" si="11"/>
        <v>29450.54</v>
      </c>
      <c r="Y27" s="14" t="str">
        <f t="shared" si="4"/>
        <v>CR - SPRO</v>
      </c>
      <c r="Z27" s="7"/>
      <c r="AA27" s="7"/>
      <c r="AB27" s="224"/>
      <c r="AC27" s="8"/>
      <c r="AE27" s="570"/>
    </row>
    <row r="28" spans="1:31" ht="28.35" customHeight="1">
      <c r="A28" s="261" t="s">
        <v>159</v>
      </c>
      <c r="B28" s="354"/>
      <c r="C28" s="439"/>
      <c r="D28" s="346"/>
      <c r="E28" s="448"/>
      <c r="F28" s="345">
        <v>6000</v>
      </c>
      <c r="G28" s="338"/>
      <c r="H28" s="387">
        <f t="shared" si="10"/>
        <v>6000</v>
      </c>
      <c r="I28" s="374"/>
      <c r="J28" s="397"/>
      <c r="K28" s="164"/>
      <c r="L28" s="165"/>
      <c r="M28" s="165"/>
      <c r="N28" s="165"/>
      <c r="O28" s="180"/>
      <c r="P28" s="410"/>
      <c r="Q28" s="380"/>
      <c r="R28" s="315"/>
      <c r="S28" s="336"/>
      <c r="T28" s="336"/>
      <c r="U28" s="172"/>
      <c r="V28" s="366"/>
      <c r="W28" s="374"/>
      <c r="X28" s="404">
        <f t="shared" si="11"/>
        <v>6000</v>
      </c>
      <c r="Y28" s="14" t="str">
        <f t="shared" si="4"/>
        <v>PRC – VAE</v>
      </c>
      <c r="Z28" s="7"/>
      <c r="AA28" s="7"/>
      <c r="AB28" s="224"/>
      <c r="AC28" s="8"/>
      <c r="AE28" s="570"/>
    </row>
    <row r="29" spans="1:31" ht="28.35" customHeight="1">
      <c r="A29" s="262" t="s">
        <v>160</v>
      </c>
      <c r="B29" s="354"/>
      <c r="C29" s="439"/>
      <c r="D29" s="346"/>
      <c r="E29" s="448"/>
      <c r="F29" s="346"/>
      <c r="G29" s="338"/>
      <c r="H29" s="568"/>
      <c r="I29" s="374"/>
      <c r="J29" s="398">
        <f>89494</f>
        <v>89494</v>
      </c>
      <c r="K29" s="164"/>
      <c r="L29" s="165"/>
      <c r="M29" s="165"/>
      <c r="N29" s="165"/>
      <c r="O29" s="180"/>
      <c r="P29" s="307">
        <f>SUM(J29:O29)</f>
        <v>89494</v>
      </c>
      <c r="Q29" s="380"/>
      <c r="R29" s="315"/>
      <c r="S29" s="157"/>
      <c r="T29" s="157"/>
      <c r="U29" s="172"/>
      <c r="V29" s="366"/>
      <c r="W29" s="374"/>
      <c r="X29" s="404">
        <f t="shared" si="11"/>
        <v>89494</v>
      </c>
      <c r="Y29" s="37" t="str">
        <f t="shared" si="4"/>
        <v>Convention Région ML</v>
      </c>
      <c r="Z29" s="7"/>
      <c r="AA29" s="7"/>
      <c r="AB29" s="224">
        <f t="shared" si="6"/>
        <v>89494</v>
      </c>
      <c r="AC29" s="8">
        <f t="shared" si="5"/>
        <v>0</v>
      </c>
      <c r="AE29" s="570"/>
    </row>
    <row r="30" spans="1:31" ht="27.75" customHeight="1">
      <c r="A30" s="265" t="s">
        <v>161</v>
      </c>
      <c r="B30" s="354"/>
      <c r="C30" s="439"/>
      <c r="D30" s="346"/>
      <c r="E30" s="448"/>
      <c r="F30" s="346"/>
      <c r="G30" s="338"/>
      <c r="H30" s="568"/>
      <c r="I30" s="374"/>
      <c r="J30" s="397"/>
      <c r="K30" s="164"/>
      <c r="L30" s="165"/>
      <c r="M30" s="165"/>
      <c r="N30" s="165"/>
      <c r="O30" s="180"/>
      <c r="P30" s="410"/>
      <c r="Q30" s="380"/>
      <c r="R30" s="315"/>
      <c r="S30" s="157"/>
      <c r="T30" s="157"/>
      <c r="U30" s="172"/>
      <c r="V30" s="366"/>
      <c r="W30" s="374"/>
      <c r="X30" s="404">
        <f t="shared" si="11"/>
        <v>0</v>
      </c>
      <c r="Y30" s="7" t="str">
        <f t="shared" si="4"/>
        <v>Manifestation d'intérêt Régional</v>
      </c>
      <c r="Z30" s="7"/>
      <c r="AA30" s="7"/>
      <c r="AB30" s="224">
        <f t="shared" si="6"/>
        <v>0</v>
      </c>
      <c r="AC30" s="8">
        <f t="shared" si="5"/>
        <v>0</v>
      </c>
      <c r="AE30" s="570"/>
    </row>
    <row r="31" spans="1:31" s="11" customFormat="1" ht="28.35" customHeight="1">
      <c r="A31" s="227" t="s">
        <v>162</v>
      </c>
      <c r="B31" s="170">
        <f t="shared" ref="B31:H31" si="12">SUM(B32:B34)</f>
        <v>4988.6000000000004</v>
      </c>
      <c r="C31" s="441">
        <f t="shared" si="12"/>
        <v>0</v>
      </c>
      <c r="D31" s="182">
        <f t="shared" si="12"/>
        <v>0</v>
      </c>
      <c r="E31" s="141">
        <f t="shared" si="12"/>
        <v>1744.23</v>
      </c>
      <c r="F31" s="182">
        <f t="shared" si="12"/>
        <v>14866.92</v>
      </c>
      <c r="G31" s="149">
        <f t="shared" si="12"/>
        <v>13735</v>
      </c>
      <c r="H31" s="308">
        <f t="shared" si="12"/>
        <v>35334.747499999998</v>
      </c>
      <c r="I31" s="374"/>
      <c r="J31" s="316">
        <f>SUM(J32:J34)</f>
        <v>87027.476142098996</v>
      </c>
      <c r="K31" s="162"/>
      <c r="L31" s="162"/>
      <c r="M31" s="316"/>
      <c r="N31" s="162">
        <f>SUM(N32:N34)</f>
        <v>0</v>
      </c>
      <c r="O31" s="179">
        <f>SUM(O32:O34)</f>
        <v>0</v>
      </c>
      <c r="P31" s="309">
        <f t="shared" ref="P31:P36" si="13">SUM(J31:O31)</f>
        <v>87027.476142098996</v>
      </c>
      <c r="Q31" s="381"/>
      <c r="R31" s="162">
        <f>SUM(R32:R34)</f>
        <v>2000</v>
      </c>
      <c r="S31" s="162">
        <f>SUM(S32:S34)</f>
        <v>0</v>
      </c>
      <c r="T31" s="162">
        <f>SUM(T32:T34)</f>
        <v>5172.7785000000003</v>
      </c>
      <c r="U31" s="169"/>
      <c r="V31" s="309">
        <f>SUM(R31:U31)</f>
        <v>7172.7785000000003</v>
      </c>
      <c r="W31" s="374"/>
      <c r="X31" s="403">
        <f>SUM(X32:X34)</f>
        <v>129535.00214209899</v>
      </c>
      <c r="Y31" s="152" t="str">
        <f t="shared" si="4"/>
        <v xml:space="preserve">Collectivités locales : </v>
      </c>
      <c r="Z31" s="7"/>
      <c r="AA31" s="7"/>
      <c r="AB31" s="224">
        <f t="shared" si="6"/>
        <v>129535.00214209899</v>
      </c>
      <c r="AC31" s="8">
        <f t="shared" ref="AC31:AC36" si="14">AB31-X31</f>
        <v>0</v>
      </c>
      <c r="AE31" s="570"/>
    </row>
    <row r="32" spans="1:31" s="228" customFormat="1" ht="27.75" customHeight="1">
      <c r="A32" s="201" t="s">
        <v>163</v>
      </c>
      <c r="B32" s="353">
        <v>4988.6000000000004</v>
      </c>
      <c r="C32" s="442"/>
      <c r="D32" s="345"/>
      <c r="E32" s="447">
        <v>1744.23</v>
      </c>
      <c r="F32" s="345">
        <v>14866.92</v>
      </c>
      <c r="G32" s="147">
        <v>13000</v>
      </c>
      <c r="H32" s="387">
        <f>34599.7475</f>
        <v>34599.747499999998</v>
      </c>
      <c r="I32" s="375"/>
      <c r="J32" s="398">
        <f>85527.476142099</f>
        <v>85527.476142098996</v>
      </c>
      <c r="K32" s="165"/>
      <c r="L32" s="165"/>
      <c r="M32" s="165"/>
      <c r="N32" s="165"/>
      <c r="O32" s="180"/>
      <c r="P32" s="307">
        <f t="shared" si="13"/>
        <v>85527.476142098996</v>
      </c>
      <c r="Q32" s="380"/>
      <c r="R32" s="335">
        <v>2000</v>
      </c>
      <c r="S32" s="336"/>
      <c r="T32" s="335">
        <f>5172.7785</f>
        <v>5172.7785000000003</v>
      </c>
      <c r="U32" s="172"/>
      <c r="V32" s="325">
        <f>SUM(R32:U32)</f>
        <v>7172.7785000000003</v>
      </c>
      <c r="W32" s="375"/>
      <c r="X32" s="404">
        <f>H32+P32+V32</f>
        <v>127300.00214209899</v>
      </c>
      <c r="Y32" s="228" t="str">
        <f t="shared" si="4"/>
        <v>CC Thouarsais</v>
      </c>
      <c r="AB32" s="229">
        <f t="shared" si="6"/>
        <v>127300.00214209899</v>
      </c>
      <c r="AC32" s="17">
        <f t="shared" si="14"/>
        <v>0</v>
      </c>
      <c r="AD32" s="228">
        <v>134000</v>
      </c>
      <c r="AE32" s="570">
        <f>AB32-AD32</f>
        <v>-6699.9978579010058</v>
      </c>
    </row>
    <row r="33" spans="1:29" s="228" customFormat="1" ht="28.35" customHeight="1">
      <c r="A33" s="201" t="s">
        <v>164</v>
      </c>
      <c r="B33" s="563"/>
      <c r="C33" s="443"/>
      <c r="D33" s="349"/>
      <c r="E33" s="564"/>
      <c r="F33" s="1544"/>
      <c r="G33" s="565"/>
      <c r="H33" s="566"/>
      <c r="I33" s="375"/>
      <c r="J33" s="398">
        <v>1500</v>
      </c>
      <c r="K33" s="165"/>
      <c r="L33" s="165"/>
      <c r="M33" s="165"/>
      <c r="N33" s="165"/>
      <c r="O33" s="180"/>
      <c r="P33" s="307">
        <f t="shared" si="13"/>
        <v>1500</v>
      </c>
      <c r="Q33" s="380"/>
      <c r="R33" s="315"/>
      <c r="S33" s="562"/>
      <c r="T33" s="157"/>
      <c r="U33" s="172"/>
      <c r="V33" s="366"/>
      <c r="W33" s="375"/>
      <c r="X33" s="404">
        <f>H33+P33+V33</f>
        <v>1500</v>
      </c>
      <c r="Y33" s="228" t="str">
        <f t="shared" si="4"/>
        <v>CC Airvault - Val du Thouet</v>
      </c>
      <c r="AB33" s="229">
        <f t="shared" si="6"/>
        <v>1500</v>
      </c>
      <c r="AC33" s="17">
        <f t="shared" si="14"/>
        <v>0</v>
      </c>
    </row>
    <row r="34" spans="1:29" s="228" customFormat="1" ht="28.35" customHeight="1">
      <c r="A34" s="201" t="s">
        <v>165</v>
      </c>
      <c r="B34" s="563"/>
      <c r="C34" s="443"/>
      <c r="D34" s="349"/>
      <c r="E34" s="564"/>
      <c r="F34" s="1544"/>
      <c r="G34" s="147">
        <v>735</v>
      </c>
      <c r="H34" s="387">
        <f>B34+E34+F34+G34</f>
        <v>735</v>
      </c>
      <c r="I34" s="375"/>
      <c r="J34" s="397"/>
      <c r="K34" s="165"/>
      <c r="L34" s="165"/>
      <c r="M34" s="165"/>
      <c r="N34" s="165"/>
      <c r="O34" s="180"/>
      <c r="P34" s="410"/>
      <c r="Q34" s="380"/>
      <c r="R34" s="315"/>
      <c r="S34" s="562"/>
      <c r="T34" s="157"/>
      <c r="U34" s="172"/>
      <c r="V34" s="366"/>
      <c r="W34" s="375"/>
      <c r="X34" s="404">
        <f t="shared" ref="X34" si="15">H34+P34+V34</f>
        <v>735</v>
      </c>
      <c r="Y34" s="228" t="str">
        <f t="shared" si="4"/>
        <v>Mairie de Loudun</v>
      </c>
      <c r="AB34" s="229">
        <f t="shared" si="6"/>
        <v>735</v>
      </c>
      <c r="AC34" s="17">
        <f t="shared" si="14"/>
        <v>0</v>
      </c>
    </row>
    <row r="35" spans="1:29" ht="28.35" customHeight="1">
      <c r="A35" s="263" t="s">
        <v>166</v>
      </c>
      <c r="B35" s="356"/>
      <c r="C35" s="440"/>
      <c r="D35" s="350"/>
      <c r="E35" s="142"/>
      <c r="F35" s="350"/>
      <c r="G35" s="1546"/>
      <c r="H35" s="308"/>
      <c r="I35" s="374"/>
      <c r="J35" s="316">
        <f>SUM(J36:J36)</f>
        <v>27887.27</v>
      </c>
      <c r="K35" s="166"/>
      <c r="L35" s="167"/>
      <c r="M35" s="167"/>
      <c r="N35" s="167"/>
      <c r="O35" s="181"/>
      <c r="P35" s="309">
        <f t="shared" si="13"/>
        <v>27887.27</v>
      </c>
      <c r="Q35" s="381"/>
      <c r="R35" s="317"/>
      <c r="S35" s="142"/>
      <c r="T35" s="142"/>
      <c r="U35" s="150"/>
      <c r="V35" s="367"/>
      <c r="W35" s="374"/>
      <c r="X35" s="403">
        <f>SUM(X36:X36)</f>
        <v>27887.27</v>
      </c>
      <c r="Y35" s="153" t="str">
        <f t="shared" si="4"/>
        <v>DR Pole Emploi</v>
      </c>
      <c r="Z35" s="7"/>
      <c r="AA35" s="7"/>
      <c r="AB35" s="224">
        <f t="shared" si="6"/>
        <v>27887.27</v>
      </c>
      <c r="AC35" s="8">
        <f t="shared" si="14"/>
        <v>0</v>
      </c>
    </row>
    <row r="36" spans="1:29" ht="27.75" customHeight="1">
      <c r="A36" s="261" t="s">
        <v>167</v>
      </c>
      <c r="B36" s="146"/>
      <c r="C36" s="439"/>
      <c r="D36" s="348"/>
      <c r="E36" s="140"/>
      <c r="F36" s="1545"/>
      <c r="G36" s="148"/>
      <c r="H36" s="567"/>
      <c r="I36" s="374"/>
      <c r="J36" s="398">
        <v>27887.27</v>
      </c>
      <c r="K36" s="164"/>
      <c r="L36" s="165"/>
      <c r="M36" s="165"/>
      <c r="N36" s="165"/>
      <c r="O36" s="180"/>
      <c r="P36" s="307">
        <f t="shared" si="13"/>
        <v>27887.27</v>
      </c>
      <c r="Q36" s="380"/>
      <c r="R36" s="318"/>
      <c r="S36" s="156"/>
      <c r="T36" s="156"/>
      <c r="U36" s="171"/>
      <c r="V36" s="366"/>
      <c r="W36" s="374"/>
      <c r="X36" s="404">
        <f>H36+P36+V36</f>
        <v>27887.27</v>
      </c>
      <c r="Y36" s="101" t="str">
        <f t="shared" si="4"/>
        <v>Co-traitance</v>
      </c>
      <c r="Z36" s="7"/>
      <c r="AA36" s="7"/>
      <c r="AB36" s="224">
        <f t="shared" si="6"/>
        <v>27887.27</v>
      </c>
      <c r="AC36" s="8">
        <f t="shared" si="14"/>
        <v>0</v>
      </c>
    </row>
    <row r="37" spans="1:29" ht="26.25">
      <c r="A37" s="263" t="s">
        <v>168</v>
      </c>
      <c r="B37" s="356"/>
      <c r="C37" s="440"/>
      <c r="D37" s="350"/>
      <c r="E37" s="142"/>
      <c r="F37" s="350"/>
      <c r="G37" s="1546"/>
      <c r="H37" s="308"/>
      <c r="I37" s="374"/>
      <c r="J37" s="316">
        <f>SUM(J38:J38)</f>
        <v>10332.599999999999</v>
      </c>
      <c r="K37" s="166"/>
      <c r="L37" s="167"/>
      <c r="M37" s="167"/>
      <c r="N37" s="167"/>
      <c r="O37" s="181"/>
      <c r="P37" s="309">
        <f>SUM(J37:O37)</f>
        <v>10332.599999999999</v>
      </c>
      <c r="Q37" s="381"/>
      <c r="R37" s="316"/>
      <c r="S37" s="162"/>
      <c r="T37" s="162"/>
      <c r="U37" s="169">
        <f>SUM(U38:U38)</f>
        <v>0</v>
      </c>
      <c r="V37" s="309">
        <f>SUM(R37:U37)</f>
        <v>0</v>
      </c>
      <c r="W37" s="374"/>
      <c r="X37" s="403">
        <f>SUM(X38:X38)</f>
        <v>10332.599999999999</v>
      </c>
      <c r="Y37" s="153" t="str">
        <f t="shared" si="4"/>
        <v>Conseil Départemental</v>
      </c>
      <c r="Z37" s="7"/>
      <c r="AA37" s="7"/>
      <c r="AB37" s="224">
        <f t="shared" ref="AB37:AB42" si="16">V37+P37+H37</f>
        <v>10332.599999999999</v>
      </c>
      <c r="AC37" s="8">
        <f>AB37-X37</f>
        <v>0</v>
      </c>
    </row>
    <row r="38" spans="1:29" ht="27.75" customHeight="1">
      <c r="A38" s="264" t="s">
        <v>169</v>
      </c>
      <c r="B38" s="146"/>
      <c r="C38" s="439"/>
      <c r="D38" s="348"/>
      <c r="E38" s="140"/>
      <c r="F38" s="348"/>
      <c r="G38" s="148"/>
      <c r="H38" s="567"/>
      <c r="I38" s="374"/>
      <c r="J38" s="398">
        <f>(48*151.95)+(10*303.9)</f>
        <v>10332.599999999999</v>
      </c>
      <c r="K38" s="164"/>
      <c r="L38" s="165"/>
      <c r="M38" s="165"/>
      <c r="N38" s="165"/>
      <c r="O38" s="180"/>
      <c r="P38" s="307">
        <f>SUM(J38:O38)</f>
        <v>10332.599999999999</v>
      </c>
      <c r="Q38" s="380"/>
      <c r="R38" s="315"/>
      <c r="S38" s="157"/>
      <c r="T38" s="157"/>
      <c r="U38" s="172"/>
      <c r="V38" s="366"/>
      <c r="W38" s="374"/>
      <c r="X38" s="404">
        <f>H38+P38+V38</f>
        <v>10332.599999999999</v>
      </c>
      <c r="Y38" s="101" t="str">
        <f t="shared" si="4"/>
        <v>Accompagt jeunes RSA</v>
      </c>
      <c r="Z38" s="7"/>
      <c r="AA38" s="7"/>
      <c r="AB38" s="224">
        <f t="shared" si="16"/>
        <v>10332.599999999999</v>
      </c>
      <c r="AC38" s="8">
        <f>AB38-X38</f>
        <v>0</v>
      </c>
    </row>
    <row r="39" spans="1:29" ht="26.25">
      <c r="A39" s="263" t="s">
        <v>170</v>
      </c>
      <c r="B39" s="141">
        <f>SUM(B41:B44)</f>
        <v>1500</v>
      </c>
      <c r="C39" s="141">
        <f>SUM(C41:C44)</f>
        <v>0</v>
      </c>
      <c r="D39" s="141">
        <f>SUM(D41:D44)</f>
        <v>0</v>
      </c>
      <c r="E39" s="141">
        <f>SUM(E40:E44)</f>
        <v>28800</v>
      </c>
      <c r="F39" s="182">
        <f>SUM(F40:F48)</f>
        <v>0</v>
      </c>
      <c r="G39" s="182">
        <f>SUM(G40:G48)</f>
        <v>13000</v>
      </c>
      <c r="H39" s="308">
        <f>SUM(B39:G39)</f>
        <v>43300</v>
      </c>
      <c r="I39" s="374"/>
      <c r="J39" s="316">
        <f>SUM(J40:J48)</f>
        <v>27950.02</v>
      </c>
      <c r="K39" s="163"/>
      <c r="L39" s="162"/>
      <c r="M39" s="316"/>
      <c r="N39" s="162"/>
      <c r="O39" s="179"/>
      <c r="P39" s="309">
        <f>SUM(J39:O39)</f>
        <v>27950.02</v>
      </c>
      <c r="Q39" s="381"/>
      <c r="R39" s="319"/>
      <c r="S39" s="162"/>
      <c r="T39" s="162">
        <f>SUM(T41:T48)</f>
        <v>0</v>
      </c>
      <c r="U39" s="174"/>
      <c r="V39" s="309">
        <f>SUM(R39:U39)</f>
        <v>0</v>
      </c>
      <c r="W39" s="374"/>
      <c r="X39" s="403">
        <f>SUM(X40:X48)</f>
        <v>71250.02</v>
      </c>
      <c r="Y39" s="101" t="str">
        <f t="shared" si="4"/>
        <v>Autres financements</v>
      </c>
      <c r="Z39" s="7"/>
      <c r="AA39" s="7"/>
      <c r="AB39" s="224">
        <f t="shared" si="16"/>
        <v>71250.02</v>
      </c>
      <c r="AC39" s="8">
        <f>AB39-X39</f>
        <v>0</v>
      </c>
    </row>
    <row r="40" spans="1:29" ht="30.75" customHeight="1">
      <c r="A40" s="265" t="s">
        <v>171</v>
      </c>
      <c r="B40" s="146"/>
      <c r="C40" s="447"/>
      <c r="D40" s="447"/>
      <c r="E40" s="447">
        <v>28800</v>
      </c>
      <c r="F40" s="348"/>
      <c r="G40" s="148"/>
      <c r="H40" s="387">
        <f t="shared" ref="H40:H41" si="17">B40+E40+F40+G40</f>
        <v>28800</v>
      </c>
      <c r="I40" s="374"/>
      <c r="J40" s="399"/>
      <c r="K40" s="164"/>
      <c r="L40" s="397"/>
      <c r="M40" s="165"/>
      <c r="N40" s="165"/>
      <c r="O40" s="337"/>
      <c r="P40" s="410"/>
      <c r="Q40" s="382"/>
      <c r="R40" s="315"/>
      <c r="S40" s="157"/>
      <c r="T40" s="157"/>
      <c r="U40" s="172"/>
      <c r="V40" s="366"/>
      <c r="W40" s="374"/>
      <c r="X40" s="404">
        <f t="shared" ref="X40:X46" si="18">H40+P40+V40</f>
        <v>28800</v>
      </c>
      <c r="Y40" s="101" t="str">
        <f>A40</f>
        <v>Fonds revitalisation</v>
      </c>
      <c r="Z40" s="7"/>
      <c r="AA40" s="7"/>
      <c r="AB40" s="224"/>
      <c r="AC40" s="8"/>
    </row>
    <row r="41" spans="1:29" ht="30.75" customHeight="1">
      <c r="A41" s="265" t="s">
        <v>172</v>
      </c>
      <c r="B41" s="353">
        <v>1500</v>
      </c>
      <c r="C41" s="447">
        <f>'Ss-bgt MDE - Synthèse'!C28</f>
        <v>0</v>
      </c>
      <c r="D41" s="447">
        <v>0</v>
      </c>
      <c r="E41" s="140"/>
      <c r="F41" s="348"/>
      <c r="G41" s="148"/>
      <c r="H41" s="387">
        <f t="shared" si="17"/>
        <v>1500</v>
      </c>
      <c r="I41" s="374"/>
      <c r="J41" s="399"/>
      <c r="K41" s="164"/>
      <c r="L41" s="165"/>
      <c r="M41" s="165"/>
      <c r="N41" s="165"/>
      <c r="O41" s="337"/>
      <c r="P41" s="410"/>
      <c r="Q41" s="382"/>
      <c r="R41" s="315"/>
      <c r="S41" s="157"/>
      <c r="T41" s="157"/>
      <c r="U41" s="172"/>
      <c r="V41" s="366"/>
      <c r="W41" s="374"/>
      <c r="X41" s="404">
        <f t="shared" si="18"/>
        <v>1500</v>
      </c>
      <c r="Y41" s="101" t="str">
        <f t="shared" si="4"/>
        <v>Goupe DRH</v>
      </c>
      <c r="Z41" s="7"/>
      <c r="AA41" s="7"/>
      <c r="AB41" s="224">
        <f t="shared" si="16"/>
        <v>1500</v>
      </c>
      <c r="AC41" s="8">
        <f>AB41-X41</f>
        <v>0</v>
      </c>
    </row>
    <row r="42" spans="1:29" ht="30.75" customHeight="1">
      <c r="A42" s="265" t="s">
        <v>173</v>
      </c>
      <c r="B42" s="146"/>
      <c r="C42" s="439"/>
      <c r="D42" s="348"/>
      <c r="E42" s="140"/>
      <c r="F42" s="348"/>
      <c r="G42" s="148"/>
      <c r="H42" s="567"/>
      <c r="I42" s="374"/>
      <c r="J42" s="399"/>
      <c r="K42" s="164"/>
      <c r="L42" s="165"/>
      <c r="M42" s="165"/>
      <c r="N42" s="165"/>
      <c r="O42" s="337"/>
      <c r="P42" s="410"/>
      <c r="Q42" s="382"/>
      <c r="R42" s="315"/>
      <c r="S42" s="157"/>
      <c r="T42" s="335"/>
      <c r="U42" s="172"/>
      <c r="V42" s="325">
        <f>SUM(R42:U42)</f>
        <v>0</v>
      </c>
      <c r="W42" s="374"/>
      <c r="X42" s="404">
        <f t="shared" si="18"/>
        <v>0</v>
      </c>
      <c r="Y42" s="101" t="str">
        <f t="shared" si="4"/>
        <v>Valorisation de Fonds OPCA</v>
      </c>
      <c r="Z42" s="7"/>
      <c r="AA42" s="7"/>
      <c r="AB42" s="224">
        <f t="shared" si="16"/>
        <v>0</v>
      </c>
      <c r="AC42" s="8">
        <f>AB42-X42</f>
        <v>0</v>
      </c>
    </row>
    <row r="43" spans="1:29" ht="30.75" customHeight="1">
      <c r="A43" s="265" t="s">
        <v>174</v>
      </c>
      <c r="B43" s="146"/>
      <c r="C43" s="439"/>
      <c r="D43" s="348"/>
      <c r="E43" s="140"/>
      <c r="F43" s="348"/>
      <c r="G43" s="148"/>
      <c r="H43" s="567"/>
      <c r="I43" s="374"/>
      <c r="J43" s="398">
        <v>3029.25</v>
      </c>
      <c r="K43" s="164"/>
      <c r="L43" s="397"/>
      <c r="M43" s="165"/>
      <c r="N43" s="165"/>
      <c r="O43" s="337"/>
      <c r="P43" s="307">
        <f>SUM(J43:O43)</f>
        <v>3029.25</v>
      </c>
      <c r="Q43" s="382"/>
      <c r="R43" s="315"/>
      <c r="S43" s="157"/>
      <c r="T43" s="157"/>
      <c r="U43" s="172"/>
      <c r="V43" s="366"/>
      <c r="W43" s="374"/>
      <c r="X43" s="404">
        <f t="shared" si="18"/>
        <v>3029.25</v>
      </c>
      <c r="Y43" s="101" t="str">
        <f t="shared" si="4"/>
        <v>Mutualisation chargée de communicat° - Bocage</v>
      </c>
      <c r="Z43" s="7"/>
      <c r="AA43" s="7"/>
      <c r="AB43" s="224"/>
      <c r="AC43" s="8"/>
    </row>
    <row r="44" spans="1:29" ht="30.75" customHeight="1">
      <c r="A44" s="265" t="s">
        <v>175</v>
      </c>
      <c r="B44" s="146"/>
      <c r="C44" s="439"/>
      <c r="D44" s="348"/>
      <c r="E44" s="140"/>
      <c r="F44" s="348"/>
      <c r="G44" s="147">
        <v>13000</v>
      </c>
      <c r="H44" s="387">
        <f>B44+E44+F44+G44</f>
        <v>13000</v>
      </c>
      <c r="I44" s="374"/>
      <c r="J44" s="399"/>
      <c r="K44" s="164"/>
      <c r="L44" s="165"/>
      <c r="M44" s="165"/>
      <c r="N44" s="165"/>
      <c r="O44" s="337"/>
      <c r="P44" s="410"/>
      <c r="Q44" s="382"/>
      <c r="R44" s="315"/>
      <c r="S44" s="157"/>
      <c r="T44" s="157"/>
      <c r="U44" s="172"/>
      <c r="V44" s="366"/>
      <c r="W44" s="374"/>
      <c r="X44" s="404">
        <f t="shared" si="18"/>
        <v>13000</v>
      </c>
      <c r="Y44" s="101" t="str">
        <f t="shared" si="4"/>
        <v>Mutualisation Clauses sociales Bocage</v>
      </c>
      <c r="Z44" s="7"/>
      <c r="AA44" s="7"/>
      <c r="AB44" s="224"/>
      <c r="AC44" s="8"/>
    </row>
    <row r="45" spans="1:29" ht="30.75" customHeight="1">
      <c r="A45" s="265" t="s">
        <v>176</v>
      </c>
      <c r="B45" s="146"/>
      <c r="C45" s="439"/>
      <c r="D45" s="348"/>
      <c r="E45" s="140"/>
      <c r="F45" s="348"/>
      <c r="G45" s="148"/>
      <c r="H45" s="567"/>
      <c r="I45" s="374"/>
      <c r="J45" s="398"/>
      <c r="K45" s="164"/>
      <c r="L45" s="165"/>
      <c r="M45" s="165"/>
      <c r="N45" s="165"/>
      <c r="O45" s="337"/>
      <c r="P45" s="307"/>
      <c r="Q45" s="382"/>
      <c r="R45" s="315"/>
      <c r="S45" s="157"/>
      <c r="T45" s="157"/>
      <c r="U45" s="172"/>
      <c r="V45" s="366"/>
      <c r="W45" s="374"/>
      <c r="X45" s="404"/>
      <c r="Y45" s="101" t="str">
        <f t="shared" si="4"/>
        <v>CICE association</v>
      </c>
      <c r="Z45" s="7"/>
      <c r="AA45" s="7"/>
      <c r="AB45" s="224"/>
      <c r="AC45" s="8"/>
    </row>
    <row r="46" spans="1:29" ht="30.75" customHeight="1">
      <c r="A46" s="265" t="s">
        <v>177</v>
      </c>
      <c r="B46" s="146"/>
      <c r="C46" s="439"/>
      <c r="D46" s="348"/>
      <c r="E46" s="140"/>
      <c r="F46" s="348"/>
      <c r="G46" s="148"/>
      <c r="H46" s="567"/>
      <c r="I46" s="374"/>
      <c r="J46" s="398">
        <v>16006.6</v>
      </c>
      <c r="K46" s="164"/>
      <c r="L46" s="165"/>
      <c r="M46" s="165"/>
      <c r="N46" s="165"/>
      <c r="O46" s="337"/>
      <c r="P46" s="307">
        <f>SUM(J46:O46)</f>
        <v>16006.6</v>
      </c>
      <c r="Q46" s="382"/>
      <c r="R46" s="315"/>
      <c r="S46" s="157"/>
      <c r="T46" s="157"/>
      <c r="U46" s="172"/>
      <c r="V46" s="366"/>
      <c r="W46" s="374"/>
      <c r="X46" s="404">
        <f t="shared" si="18"/>
        <v>16006.6</v>
      </c>
      <c r="Y46" s="101" t="str">
        <f t="shared" si="4"/>
        <v>Indemnités de départ en retaite MCS (fds mef)</v>
      </c>
      <c r="Z46" s="7"/>
      <c r="AA46" s="7"/>
      <c r="AB46" s="224"/>
      <c r="AC46" s="8"/>
    </row>
    <row r="47" spans="1:29" ht="30.75" customHeight="1">
      <c r="A47" s="265" t="s">
        <v>178</v>
      </c>
      <c r="B47" s="146"/>
      <c r="C47" s="439"/>
      <c r="D47" s="348"/>
      <c r="E47" s="140"/>
      <c r="F47" s="348"/>
      <c r="G47" s="1559"/>
      <c r="H47" s="567"/>
      <c r="I47" s="374"/>
      <c r="J47" s="398">
        <v>3148.04</v>
      </c>
      <c r="K47" s="164"/>
      <c r="L47" s="165"/>
      <c r="M47" s="165"/>
      <c r="N47" s="165"/>
      <c r="O47" s="337"/>
      <c r="P47" s="307">
        <f>SUM(J47:O47)</f>
        <v>3148.04</v>
      </c>
      <c r="Q47" s="382"/>
      <c r="R47" s="315"/>
      <c r="S47" s="157"/>
      <c r="T47" s="157"/>
      <c r="U47" s="172"/>
      <c r="V47" s="366"/>
      <c r="W47" s="374"/>
      <c r="X47" s="404">
        <f t="shared" ref="X47" si="19">H47+P47+V47</f>
        <v>3148.04</v>
      </c>
      <c r="Y47" s="101" t="str">
        <f t="shared" ref="Y47" si="20">A47</f>
        <v>Indemnités congé payé directrice (fds mef)</v>
      </c>
      <c r="Z47" s="7"/>
      <c r="AA47" s="7"/>
      <c r="AB47" s="224"/>
      <c r="AC47" s="8"/>
    </row>
    <row r="48" spans="1:29" ht="30.75" customHeight="1" thickBot="1">
      <c r="A48" s="265" t="s">
        <v>179</v>
      </c>
      <c r="B48" s="146"/>
      <c r="C48" s="439"/>
      <c r="D48" s="348"/>
      <c r="E48" s="140"/>
      <c r="F48" s="348"/>
      <c r="G48" s="1547"/>
      <c r="H48" s="567"/>
      <c r="I48" s="374"/>
      <c r="J48" s="398">
        <v>5766.13</v>
      </c>
      <c r="K48" s="164"/>
      <c r="L48" s="165"/>
      <c r="M48" s="165"/>
      <c r="N48" s="165"/>
      <c r="O48" s="337"/>
      <c r="P48" s="307">
        <f>SUM(J48:O48)</f>
        <v>5766.13</v>
      </c>
      <c r="Q48" s="382"/>
      <c r="R48" s="315"/>
      <c r="S48" s="157"/>
      <c r="T48" s="157"/>
      <c r="U48" s="172"/>
      <c r="V48" s="366"/>
      <c r="W48" s="374"/>
      <c r="X48" s="404">
        <f>H48+P48+V48</f>
        <v>5766.13</v>
      </c>
      <c r="Y48" s="101" t="str">
        <f>A48</f>
        <v>Indemnités congé payé dir-adj (fds mef)</v>
      </c>
      <c r="Z48" s="7"/>
      <c r="AA48" s="7"/>
      <c r="AB48" s="224"/>
      <c r="AC48" s="8"/>
    </row>
    <row r="49" spans="1:30" ht="36.6" customHeight="1" thickBot="1">
      <c r="A49" s="424" t="s">
        <v>180</v>
      </c>
      <c r="B49" s="418">
        <f t="shared" ref="B49:H49" si="21">B6+B19+B24+B31+B35+B37+B39</f>
        <v>16868.16</v>
      </c>
      <c r="C49" s="444">
        <f t="shared" si="21"/>
        <v>0</v>
      </c>
      <c r="D49" s="351">
        <f t="shared" si="21"/>
        <v>0</v>
      </c>
      <c r="E49" s="450">
        <f t="shared" si="21"/>
        <v>42296.67</v>
      </c>
      <c r="F49" s="419">
        <f t="shared" si="21"/>
        <v>100456.94</v>
      </c>
      <c r="G49" s="420">
        <f t="shared" si="21"/>
        <v>40570.89</v>
      </c>
      <c r="H49" s="421">
        <f t="shared" si="21"/>
        <v>200192.6575</v>
      </c>
      <c r="I49" s="374"/>
      <c r="J49" s="412">
        <f t="shared" ref="J49:P49" si="22">J6+J19+J24+J31+J35+J37+J39</f>
        <v>432157.51835215068</v>
      </c>
      <c r="K49" s="413">
        <f t="shared" si="22"/>
        <v>192000</v>
      </c>
      <c r="L49" s="413">
        <f t="shared" si="22"/>
        <v>10000</v>
      </c>
      <c r="M49" s="413">
        <f t="shared" si="22"/>
        <v>0</v>
      </c>
      <c r="N49" s="230">
        <f t="shared" si="22"/>
        <v>0</v>
      </c>
      <c r="O49" s="231">
        <f t="shared" si="22"/>
        <v>0</v>
      </c>
      <c r="P49" s="411">
        <f t="shared" si="22"/>
        <v>634157.51835215068</v>
      </c>
      <c r="Q49" s="383"/>
      <c r="R49" s="320">
        <f>R6+R19+R24+R31+R35+R37+R39</f>
        <v>14000</v>
      </c>
      <c r="S49" s="320">
        <f>S6+S19+S24+S31+S35+S37+S39</f>
        <v>0</v>
      </c>
      <c r="T49" s="183">
        <f>T6+T19+T24+T31+T35+T37+T39</f>
        <v>35172.7785</v>
      </c>
      <c r="U49" s="184">
        <f>U6+U19+U24+U31+U35+U37+U39</f>
        <v>0</v>
      </c>
      <c r="V49" s="187">
        <f>SUM(R49:U49)</f>
        <v>49172.7785</v>
      </c>
      <c r="W49" s="374"/>
      <c r="X49" s="405">
        <f>X6+X19+X24+X31+X35+X37+X39</f>
        <v>883522.95435215055</v>
      </c>
      <c r="Y49" s="8"/>
      <c r="Z49" s="7"/>
      <c r="AA49" s="7"/>
      <c r="AB49" s="224">
        <f>V49+P49+H49</f>
        <v>883522.95435215067</v>
      </c>
      <c r="AC49" s="8">
        <f>AB49-X49</f>
        <v>0</v>
      </c>
    </row>
    <row r="50" spans="1:30" ht="23.25">
      <c r="A50" s="232"/>
      <c r="B50" s="352"/>
      <c r="C50" s="233" t="e">
        <f>(#REF!*F80)</f>
        <v>#REF!</v>
      </c>
      <c r="D50" s="233" t="e">
        <f>(#REF!*F81)</f>
        <v>#REF!</v>
      </c>
      <c r="E50" s="352"/>
      <c r="F50" s="352"/>
      <c r="G50" s="234"/>
      <c r="H50" s="388"/>
      <c r="I50" s="374"/>
      <c r="J50" s="236"/>
      <c r="K50" s="235"/>
      <c r="L50" s="236"/>
      <c r="M50" s="236"/>
      <c r="N50" s="236"/>
      <c r="O50" s="236"/>
      <c r="P50" s="237"/>
      <c r="Q50" s="384"/>
      <c r="R50" s="236"/>
      <c r="S50" s="238"/>
      <c r="T50" s="571"/>
      <c r="U50" s="238"/>
      <c r="V50" s="238"/>
      <c r="W50" s="374"/>
      <c r="X50" s="370"/>
      <c r="Y50" s="7"/>
      <c r="Z50" s="7"/>
      <c r="AA50" s="5"/>
      <c r="AB50" s="7"/>
      <c r="AD50" s="12"/>
    </row>
    <row r="51" spans="1:30" hidden="1">
      <c r="A51" s="239"/>
      <c r="B51" s="185"/>
      <c r="C51" s="185"/>
      <c r="D51" s="185"/>
      <c r="E51" s="185"/>
      <c r="F51" s="185"/>
      <c r="G51" s="185"/>
      <c r="H51" s="389"/>
      <c r="I51" s="400"/>
      <c r="J51" s="42"/>
      <c r="K51" s="186"/>
      <c r="L51" s="42"/>
      <c r="M51" s="42"/>
      <c r="N51" s="42"/>
      <c r="O51" s="42"/>
      <c r="P51" s="240"/>
      <c r="Q51" s="384"/>
      <c r="R51" s="42"/>
      <c r="S51" s="1585"/>
      <c r="T51" s="1585"/>
      <c r="U51" s="1585"/>
      <c r="V51" s="1585"/>
      <c r="W51" s="376"/>
      <c r="X51" s="371"/>
      <c r="Y51" s="7"/>
      <c r="Z51" s="7"/>
      <c r="AA51" s="7"/>
      <c r="AB51" s="8" t="e">
        <f>AB49-X52</f>
        <v>#REF!</v>
      </c>
    </row>
    <row r="52" spans="1:30" ht="41.1" customHeight="1">
      <c r="A52" s="425" t="s">
        <v>181</v>
      </c>
      <c r="B52" s="422">
        <f>'Dépenses BP 2017'!B131</f>
        <v>16899.485103534418</v>
      </c>
      <c r="C52" s="190">
        <f>'Dépenses BP 2017'!E131</f>
        <v>0</v>
      </c>
      <c r="D52" s="143">
        <f>'Dépenses BP 2017'!G131</f>
        <v>16899.485103534418</v>
      </c>
      <c r="E52" s="422">
        <f>'Dépenses BP 2017'!K131</f>
        <v>42281.709879133188</v>
      </c>
      <c r="F52" s="422">
        <f>'Dépenses BP 2017'!N131</f>
        <v>100560.55448638528</v>
      </c>
      <c r="G52" s="422">
        <f>'Dépenses BP 2017'!Q131</f>
        <v>40525.490629325446</v>
      </c>
      <c r="H52" s="423">
        <f>'Dépenses BP 2017'!T131</f>
        <v>200267.24009837833</v>
      </c>
      <c r="I52" s="376"/>
      <c r="J52" s="414">
        <f>'Dépenses BP 2017'!Y131</f>
        <v>440157.76476697274</v>
      </c>
      <c r="K52" s="579">
        <f>'Dépenses BP 2017'!AB131</f>
        <v>191660.40980953118</v>
      </c>
      <c r="L52" s="415">
        <f>'Dépenses BP 2017'!AE131</f>
        <v>11504.688609473831</v>
      </c>
      <c r="M52" s="415">
        <f>'Dépenses BP 2017'!AH131</f>
        <v>0</v>
      </c>
      <c r="N52" s="415">
        <f>'Dépenses BP 2017'!AK131</f>
        <v>0</v>
      </c>
      <c r="O52" s="415" t="e">
        <f>'Dépenses BP 2017'!AN131</f>
        <v>#REF!</v>
      </c>
      <c r="P52" s="416">
        <f>'Dépenses BP 2017'!AQ131</f>
        <v>643322.86318597791</v>
      </c>
      <c r="Q52" s="385"/>
      <c r="R52" s="321" t="e">
        <f>'Dépenses BP 2017'!AU131</f>
        <v>#REF!</v>
      </c>
      <c r="S52" s="168">
        <f>'Dépenses BP 2017'!AW131</f>
        <v>0</v>
      </c>
      <c r="T52" s="168">
        <f>'Dépenses BP 2017'!BA131</f>
        <v>27366.60349133952</v>
      </c>
      <c r="U52" s="168">
        <f>'Dépenses BP 2017'!BD131</f>
        <v>0</v>
      </c>
      <c r="V52" s="368" t="e">
        <f>'Dépenses BP 2017'!BG131</f>
        <v>#REF!</v>
      </c>
      <c r="W52" s="376"/>
      <c r="X52" s="406" t="e">
        <f>H52+P52+V52</f>
        <v>#REF!</v>
      </c>
      <c r="Y52" s="7"/>
      <c r="Z52" s="7">
        <f>28800</f>
        <v>28800</v>
      </c>
      <c r="AA52" s="7"/>
      <c r="AB52" s="7"/>
    </row>
    <row r="53" spans="1:30" hidden="1">
      <c r="A53" s="241"/>
      <c r="B53" s="144"/>
      <c r="C53" s="145">
        <f>C52/($C$52+$E$52+$F$52+$G$52)</f>
        <v>0</v>
      </c>
      <c r="D53" s="145"/>
      <c r="E53" s="145">
        <f>E52/($C$52+$E$52+$F$52+$G$52)</f>
        <v>0.230584215203606</v>
      </c>
      <c r="F53" s="145">
        <f>F52/($C$52+$E$52+$F$52+$G$52)</f>
        <v>0.54840914908519733</v>
      </c>
      <c r="G53" s="145">
        <f>G52/($C$52+$E$52+$F$52+$G$52)</f>
        <v>0.22100663571119675</v>
      </c>
      <c r="H53" s="390">
        <f>(H52-B52)/($C$52+$E$52+$F$52+$G$52)</f>
        <v>1</v>
      </c>
      <c r="I53" s="376"/>
      <c r="J53" s="322"/>
      <c r="K53" s="45"/>
      <c r="L53" s="45"/>
      <c r="M53" s="45"/>
      <c r="N53" s="45"/>
      <c r="O53" s="45"/>
      <c r="P53" s="311"/>
      <c r="Q53" s="384"/>
      <c r="R53" s="322"/>
      <c r="S53" s="1584"/>
      <c r="T53" s="1584"/>
      <c r="U53" s="1584"/>
      <c r="V53" s="369"/>
      <c r="W53" s="376"/>
      <c r="X53" s="372"/>
      <c r="Y53" s="7"/>
      <c r="Z53" s="8"/>
      <c r="AA53" s="7"/>
      <c r="AB53" s="7"/>
    </row>
    <row r="54" spans="1:30" s="306" customFormat="1" ht="45" customHeight="1" thickBot="1">
      <c r="A54" s="302" t="s">
        <v>182</v>
      </c>
      <c r="B54" s="303">
        <f t="shared" ref="B54:H54" si="23">B49-B52</f>
        <v>-31.325103534418304</v>
      </c>
      <c r="C54" s="303">
        <f t="shared" si="23"/>
        <v>0</v>
      </c>
      <c r="D54" s="326">
        <f t="shared" si="23"/>
        <v>-16899.485103534418</v>
      </c>
      <c r="E54" s="326">
        <f t="shared" si="23"/>
        <v>14.96012086681003</v>
      </c>
      <c r="F54" s="326">
        <f t="shared" si="23"/>
        <v>-103.61448638528236</v>
      </c>
      <c r="G54" s="326">
        <f t="shared" si="23"/>
        <v>45.399370674553211</v>
      </c>
      <c r="H54" s="327">
        <f t="shared" si="23"/>
        <v>-74.582598378328839</v>
      </c>
      <c r="I54" s="401"/>
      <c r="J54" s="328">
        <f t="shared" ref="J54:V54" si="24">J49-J52</f>
        <v>-8000.2464148220606</v>
      </c>
      <c r="K54" s="326">
        <f t="shared" si="24"/>
        <v>339.59019046882167</v>
      </c>
      <c r="L54" s="326">
        <f t="shared" si="24"/>
        <v>-1504.6886094738311</v>
      </c>
      <c r="M54" s="326">
        <f t="shared" si="24"/>
        <v>0</v>
      </c>
      <c r="N54" s="326">
        <f t="shared" si="24"/>
        <v>0</v>
      </c>
      <c r="O54" s="329" t="e">
        <f t="shared" si="24"/>
        <v>#REF!</v>
      </c>
      <c r="P54" s="327">
        <f t="shared" si="24"/>
        <v>-9165.3448338272283</v>
      </c>
      <c r="Q54" s="386"/>
      <c r="R54" s="328" t="e">
        <f t="shared" si="24"/>
        <v>#REF!</v>
      </c>
      <c r="S54" s="326">
        <f t="shared" si="24"/>
        <v>0</v>
      </c>
      <c r="T54" s="326">
        <f t="shared" si="24"/>
        <v>7806.1750086604807</v>
      </c>
      <c r="U54" s="326">
        <f t="shared" si="24"/>
        <v>0</v>
      </c>
      <c r="V54" s="327" t="e">
        <f t="shared" si="24"/>
        <v>#REF!</v>
      </c>
      <c r="W54" s="377"/>
      <c r="X54" s="373" t="e">
        <f>X49-X52</f>
        <v>#REF!</v>
      </c>
      <c r="Y54" s="304"/>
      <c r="Z54" s="304"/>
      <c r="AA54" s="304"/>
      <c r="AB54" s="305"/>
    </row>
    <row r="55" spans="1:30" ht="25.5">
      <c r="D55" s="16"/>
      <c r="F55" s="18"/>
      <c r="G55" s="340"/>
      <c r="H55" s="457">
        <f>H7/(E49+F49)</f>
        <v>0.50245881697842876</v>
      </c>
      <c r="J55" s="22"/>
      <c r="P55" s="189"/>
      <c r="T55" s="4">
        <f>T13/T49</f>
        <v>0.56862155487659294</v>
      </c>
    </row>
    <row r="56" spans="1:30" ht="25.5">
      <c r="A56"/>
      <c r="B56" s="96"/>
      <c r="C56"/>
      <c r="D56" s="17"/>
      <c r="E56" s="18"/>
      <c r="F56" s="18"/>
      <c r="G56" s="18"/>
      <c r="H56" s="436">
        <f>H6/H49</f>
        <v>0.43012251835460047</v>
      </c>
      <c r="I56" s="12"/>
      <c r="J56" s="31">
        <f>SUM(B32:F32)</f>
        <v>21599.75</v>
      </c>
      <c r="K56" s="31">
        <f>H32-J56</f>
        <v>12999.997499999998</v>
      </c>
      <c r="L56" s="189">
        <f>E31+F31</f>
        <v>16611.150000000001</v>
      </c>
      <c r="P56" s="189">
        <f>H31-L56</f>
        <v>18723.597499999996</v>
      </c>
      <c r="T56" s="28"/>
      <c r="U56" s="188"/>
    </row>
    <row r="57" spans="1:30" ht="6.75" customHeight="1" thickBot="1">
      <c r="A57" s="19"/>
      <c r="B57" s="19"/>
      <c r="C57" s="19"/>
      <c r="D57" s="11"/>
      <c r="I57" s="12"/>
    </row>
    <row r="58" spans="1:30" ht="42.75" customHeight="1" thickTop="1" thickBot="1">
      <c r="A58" s="242"/>
      <c r="B58" s="1582">
        <v>-3496.0779588605901</v>
      </c>
      <c r="C58" s="19"/>
      <c r="D58" s="12"/>
      <c r="E58" s="1965" t="s">
        <v>183</v>
      </c>
      <c r="F58" s="1965"/>
      <c r="G58" s="1965"/>
      <c r="H58" s="1965"/>
      <c r="K58" s="22"/>
      <c r="T58" s="28">
        <f>T13/T49</f>
        <v>0.56862155487659294</v>
      </c>
      <c r="U58" s="341"/>
    </row>
    <row r="59" spans="1:30" ht="3.75" customHeight="1" thickTop="1">
      <c r="A59" s="242"/>
      <c r="B59" s="19"/>
      <c r="C59" s="19"/>
      <c r="D59" s="12"/>
      <c r="U59" s="7"/>
    </row>
    <row r="60" spans="1:30" ht="41.25">
      <c r="B60" s="24"/>
      <c r="D60" s="12"/>
      <c r="E60" s="15"/>
      <c r="F60" s="15"/>
      <c r="G60" s="15"/>
      <c r="H60" s="301" t="s">
        <v>184</v>
      </c>
      <c r="K60" s="18">
        <f>H7</f>
        <v>71727.81</v>
      </c>
      <c r="L60" s="458">
        <v>0.6</v>
      </c>
      <c r="T60" s="3">
        <f>(100*T13)/42</f>
        <v>47619.047619047618</v>
      </c>
      <c r="U60" s="3">
        <f>T49-T60</f>
        <v>-12446.269119047618</v>
      </c>
    </row>
    <row r="61" spans="1:30" ht="25.35" customHeight="1">
      <c r="A61" s="9">
        <f>H7</f>
        <v>71727.81</v>
      </c>
      <c r="B61" s="582">
        <v>0.7</v>
      </c>
      <c r="C61" s="4"/>
      <c r="D61" s="12"/>
      <c r="E61" s="12"/>
      <c r="F61" s="12"/>
      <c r="G61" s="21"/>
      <c r="H61" s="297">
        <f>H6</f>
        <v>86107.37</v>
      </c>
      <c r="J61" s="10"/>
      <c r="K61" s="22"/>
      <c r="L61" s="12">
        <v>100</v>
      </c>
      <c r="T61" s="28"/>
      <c r="U61" s="3"/>
    </row>
    <row r="62" spans="1:30">
      <c r="A62" s="4">
        <f>(B62*A61)/B61</f>
        <v>102468.3</v>
      </c>
      <c r="B62" s="582">
        <v>1</v>
      </c>
      <c r="C62" s="4"/>
      <c r="D62" s="12"/>
      <c r="E62" s="22"/>
      <c r="F62" s="12"/>
      <c r="G62" s="12"/>
      <c r="H62" s="298"/>
      <c r="J62" s="10"/>
      <c r="K62" s="22"/>
      <c r="T62" s="28"/>
      <c r="U62" s="12"/>
    </row>
    <row r="63" spans="1:30">
      <c r="A63" s="9">
        <f>A62-A61</f>
        <v>30740.490000000005</v>
      </c>
      <c r="B63" s="4"/>
      <c r="C63" s="4"/>
      <c r="D63" s="12"/>
      <c r="E63" s="12"/>
      <c r="F63" s="12"/>
      <c r="G63" s="12"/>
      <c r="H63" s="297">
        <v>9000</v>
      </c>
      <c r="J63" s="1958" t="s">
        <v>185</v>
      </c>
      <c r="K63" s="1958"/>
      <c r="T63" s="28"/>
      <c r="U63" s="12"/>
    </row>
    <row r="64" spans="1:30">
      <c r="A64" s="9">
        <f>A63-25500</f>
        <v>5240.4900000000052</v>
      </c>
      <c r="B64" s="4"/>
      <c r="C64" s="4"/>
      <c r="D64" s="12"/>
      <c r="E64" s="12"/>
      <c r="F64" s="12"/>
      <c r="G64" s="12"/>
      <c r="H64" s="298"/>
      <c r="J64" s="1958" t="s">
        <v>186</v>
      </c>
      <c r="K64" s="1958"/>
      <c r="L64" s="1958" t="s">
        <v>187</v>
      </c>
      <c r="M64" s="1958"/>
      <c r="N64" s="1958"/>
      <c r="O64" s="1958"/>
      <c r="P64" s="1958"/>
      <c r="R64" s="1963" t="s">
        <v>188</v>
      </c>
      <c r="S64" s="1964"/>
      <c r="T64" s="1964"/>
      <c r="U64" s="1963" t="s">
        <v>189</v>
      </c>
      <c r="V64" s="1964"/>
      <c r="W64" s="578"/>
    </row>
    <row r="65" spans="1:30">
      <c r="A65" s="4"/>
      <c r="B65" s="4"/>
      <c r="C65" s="4"/>
      <c r="D65" s="12"/>
      <c r="E65" s="12"/>
      <c r="F65" s="12"/>
      <c r="G65" s="12"/>
      <c r="H65" s="297">
        <f>H31</f>
        <v>35334.747499999998</v>
      </c>
      <c r="J65" s="572" t="s">
        <v>190</v>
      </c>
      <c r="K65" s="573">
        <f>'Dépenses BP 2017'!BJ37+'Dépenses BP 2017'!BJ38+'Dépenses BP 2017'!BJ39</f>
        <v>43720.740019746103</v>
      </c>
      <c r="L65" s="575" t="s">
        <v>191</v>
      </c>
      <c r="P65" s="576">
        <f>'Dépenses BP 2017'!BJ43+'Dépenses BP 2017'!BJ44+'Dépenses BP 2017'!BJ45</f>
        <v>35467.261463314462</v>
      </c>
      <c r="R65" s="575" t="s">
        <v>191</v>
      </c>
      <c r="S65" s="12"/>
      <c r="T65" s="576">
        <f>'Dépenses BP 2017'!BJ43+'Dépenses BP 2017'!BJ44+'Dépenses BP 2017'!BJ45</f>
        <v>35467.261463314462</v>
      </c>
      <c r="U65" s="575" t="s">
        <v>191</v>
      </c>
      <c r="V65" s="576">
        <f>'Dépenses BP 2017'!BJ43+'Dépenses BP 2017'!BJ44+'Dépenses BP 2017'!BJ45</f>
        <v>35467.261463314462</v>
      </c>
      <c r="W65"/>
    </row>
    <row r="66" spans="1:30">
      <c r="A66" s="4"/>
      <c r="B66" s="4"/>
      <c r="C66" s="4"/>
      <c r="D66" s="12"/>
      <c r="E66" s="12"/>
      <c r="F66" s="12"/>
      <c r="G66" s="12"/>
      <c r="H66" s="297" t="e">
        <f>#REF!</f>
        <v>#REF!</v>
      </c>
      <c r="J66" s="572" t="s">
        <v>192</v>
      </c>
      <c r="K66" s="573">
        <f>'Dépenses BP 2017'!BJ40+'Dépenses BP 2017'!BJ41+'Dépenses BP 2017'!BJ42</f>
        <v>35569.141357600383</v>
      </c>
      <c r="R66" s="572" t="s">
        <v>192</v>
      </c>
      <c r="S66" s="573">
        <f>'Dépenses BP 2017'!BT38+'Dépenses BP 2017'!BT39+'Dépenses BP 2017'!BT40</f>
        <v>0</v>
      </c>
      <c r="T66" s="573">
        <f>'Dépenses BP 2017'!BJ40+'Dépenses BP 2017'!BJ41+'Dépenses BP 2017'!BJ42</f>
        <v>35569.141357600383</v>
      </c>
      <c r="U66" s="572" t="s">
        <v>193</v>
      </c>
      <c r="V66" s="573">
        <f>'Dépenses BP 2017'!BJ25+'Dépenses BP 2017'!BJ26+'Dépenses BP 2017'!BJ27</f>
        <v>31236.712493030038</v>
      </c>
      <c r="W66"/>
    </row>
    <row r="67" spans="1:30">
      <c r="A67" s="4"/>
      <c r="B67" s="4"/>
      <c r="C67" s="4"/>
      <c r="D67" s="12"/>
      <c r="E67" s="12"/>
      <c r="F67" s="12"/>
      <c r="G67" s="12"/>
      <c r="H67" s="299" t="e">
        <f>#REF!</f>
        <v>#REF!</v>
      </c>
      <c r="J67" s="574" t="s">
        <v>194</v>
      </c>
      <c r="K67" s="573">
        <f>SUM(K65:K66)</f>
        <v>79289.881377346494</v>
      </c>
      <c r="L67" s="574" t="s">
        <v>194</v>
      </c>
      <c r="P67" s="573">
        <f>P65</f>
        <v>35467.261463314462</v>
      </c>
      <c r="R67" s="574" t="s">
        <v>194</v>
      </c>
      <c r="S67" s="12"/>
      <c r="T67" s="573">
        <f>T65+T66</f>
        <v>71036.402820914838</v>
      </c>
      <c r="U67" s="574" t="s">
        <v>194</v>
      </c>
      <c r="V67" s="573">
        <f>V65+V66</f>
        <v>66703.973956344504</v>
      </c>
      <c r="W67"/>
    </row>
    <row r="68" spans="1:30">
      <c r="A68" s="4"/>
      <c r="B68" s="4"/>
      <c r="C68" s="4"/>
      <c r="D68" s="12"/>
      <c r="E68" s="12"/>
      <c r="F68" s="12"/>
      <c r="G68" s="12"/>
      <c r="H68" s="297" t="e">
        <f>H61+H63+H65+H66+H67</f>
        <v>#REF!</v>
      </c>
      <c r="J68" s="574" t="s">
        <v>195</v>
      </c>
      <c r="K68" s="573">
        <f>K67*15%</f>
        <v>11893.482206601973</v>
      </c>
      <c r="L68" s="574" t="s">
        <v>195</v>
      </c>
      <c r="P68" s="573">
        <f>P67*15%</f>
        <v>5320.0892194971693</v>
      </c>
      <c r="R68" s="574" t="s">
        <v>195</v>
      </c>
      <c r="S68" s="12"/>
      <c r="T68" s="573">
        <f>T67*15%</f>
        <v>10655.460423137225</v>
      </c>
      <c r="U68" s="574" t="s">
        <v>195</v>
      </c>
      <c r="V68" s="573">
        <f>V67*15%</f>
        <v>10005.596093451675</v>
      </c>
      <c r="W68"/>
    </row>
    <row r="69" spans="1:30">
      <c r="A69" s="4"/>
      <c r="B69" s="4"/>
      <c r="C69" s="4"/>
      <c r="D69" s="12"/>
      <c r="E69" s="12"/>
      <c r="F69" s="12"/>
      <c r="G69" s="12"/>
      <c r="J69" s="574" t="s">
        <v>196</v>
      </c>
      <c r="K69" s="573">
        <f>K68+K67</f>
        <v>91183.363583948463</v>
      </c>
      <c r="L69" s="574" t="s">
        <v>196</v>
      </c>
      <c r="P69" s="573">
        <f>P68+P67</f>
        <v>40787.35068281163</v>
      </c>
      <c r="R69" s="574" t="s">
        <v>196</v>
      </c>
      <c r="S69" s="12"/>
      <c r="T69" s="573">
        <f>T68+T67</f>
        <v>81691.86324405206</v>
      </c>
      <c r="U69" s="574" t="s">
        <v>196</v>
      </c>
      <c r="V69" s="573">
        <f>V68+V67</f>
        <v>76709.570049796181</v>
      </c>
      <c r="W69"/>
    </row>
    <row r="70" spans="1:30">
      <c r="A70" s="4"/>
      <c r="B70" s="4"/>
      <c r="C70" s="4"/>
      <c r="D70" s="23" t="s">
        <v>197</v>
      </c>
      <c r="E70" s="1966" t="s">
        <v>198</v>
      </c>
      <c r="F70" s="1966"/>
      <c r="G70" s="1966"/>
      <c r="H70" s="300" t="e">
        <f>H68</f>
        <v>#REF!</v>
      </c>
      <c r="J70" s="574" t="s">
        <v>199</v>
      </c>
      <c r="K70" s="573">
        <f>K69*60%</f>
        <v>54710.018150369076</v>
      </c>
      <c r="L70" s="574" t="s">
        <v>199</v>
      </c>
      <c r="P70" s="573">
        <f>P69*60%</f>
        <v>24472.410409686978</v>
      </c>
      <c r="R70" s="574" t="s">
        <v>199</v>
      </c>
      <c r="S70" s="12"/>
      <c r="T70" s="573">
        <f>T69*60%</f>
        <v>49015.117946431237</v>
      </c>
      <c r="U70" s="574" t="s">
        <v>199</v>
      </c>
      <c r="V70" s="573">
        <f>V69*60%</f>
        <v>46025.742029877707</v>
      </c>
      <c r="W70"/>
    </row>
    <row r="71" spans="1:30">
      <c r="A71" s="4"/>
      <c r="B71" s="4"/>
      <c r="C71" s="4"/>
      <c r="T71" s="589"/>
    </row>
    <row r="72" spans="1:30" s="9" customFormat="1" ht="18">
      <c r="B72" s="24"/>
      <c r="C72" s="24"/>
      <c r="D72" s="25" t="s">
        <v>200</v>
      </c>
      <c r="E72" s="1967" t="s">
        <v>201</v>
      </c>
      <c r="F72" s="1967"/>
      <c r="G72" s="1967"/>
      <c r="H72" s="26" t="str">
        <f>IF(H61 = 0.7,"OUI","NON - A REVOIR")</f>
        <v>NON - A REVOIR</v>
      </c>
    </row>
    <row r="73" spans="1:30">
      <c r="L73" s="598"/>
      <c r="M73" s="598"/>
      <c r="T73" s="1958" t="s">
        <v>202</v>
      </c>
      <c r="U73" s="1958"/>
    </row>
    <row r="74" spans="1:30">
      <c r="H74" s="28" t="str">
        <f>IF(70,"oui","NON - A revoir")</f>
        <v>oui</v>
      </c>
      <c r="L74" s="598"/>
      <c r="M74" s="598"/>
      <c r="R74" s="1959" t="s">
        <v>203</v>
      </c>
      <c r="T74" s="572" t="s">
        <v>204</v>
      </c>
      <c r="U74" s="573">
        <f>'Dépenses BP 2017'!T16+'Dépenses BP 2017'!T17+'Dépenses BP 2017'!T18</f>
        <v>10625.062890412313</v>
      </c>
    </row>
    <row r="75" spans="1:30">
      <c r="L75" s="598"/>
      <c r="M75" s="598"/>
      <c r="R75" s="1960"/>
      <c r="T75" s="572" t="s">
        <v>205</v>
      </c>
      <c r="U75" s="573">
        <f>'Dépenses BP 2017'!BJ25+'Dépenses BP 2017'!BJ26+'Dépenses BP 2017'!BJ27</f>
        <v>31236.712493030038</v>
      </c>
    </row>
    <row r="76" spans="1:30" ht="40.5">
      <c r="A76" s="12"/>
      <c r="B76" s="12"/>
      <c r="C76" s="100" t="s">
        <v>206</v>
      </c>
      <c r="D76" s="100" t="s">
        <v>123</v>
      </c>
      <c r="E76" s="100" t="s">
        <v>122</v>
      </c>
      <c r="F76" s="12"/>
      <c r="G76" s="12"/>
      <c r="H76" s="10"/>
      <c r="I76" s="12"/>
      <c r="J76"/>
      <c r="L76" s="598"/>
      <c r="M76" s="598"/>
      <c r="N76"/>
      <c r="O76"/>
      <c r="P76"/>
      <c r="Q76"/>
      <c r="R76" s="1960"/>
      <c r="T76" s="572" t="s">
        <v>207</v>
      </c>
      <c r="U76" s="573">
        <f>('Ss-bdt MDE - Dep'!AC10+'Ss-bdt MDE - Dep'!AC11+'Ss-bdt MDE - Dep'!AC12)/1.763535</f>
        <v>-116.00919203532456</v>
      </c>
      <c r="W76"/>
      <c r="X76" s="3"/>
    </row>
    <row r="77" spans="1:30" ht="25.5">
      <c r="A77" s="12"/>
      <c r="B77" s="12"/>
      <c r="C77" s="20" t="s">
        <v>208</v>
      </c>
      <c r="D77" s="44" t="e">
        <f>C77+((C77*1)/100)</f>
        <v>#VALUE!</v>
      </c>
      <c r="E77" s="243"/>
      <c r="F77" s="12"/>
      <c r="G77" s="12" t="s">
        <v>209</v>
      </c>
      <c r="H77" s="10" t="s">
        <v>210</v>
      </c>
      <c r="I77" s="12"/>
      <c r="J77"/>
      <c r="L77" s="598"/>
      <c r="M77" s="598"/>
      <c r="N77"/>
      <c r="O77"/>
      <c r="P77"/>
      <c r="Q77"/>
      <c r="R77" s="1960"/>
      <c r="T77" s="572" t="s">
        <v>211</v>
      </c>
      <c r="U77" s="573">
        <f>('Ss-bdt MDE - Dep'!AC7+'Ss-bdt MDE - Dep'!AC8+'Ss-bdt MDE - Dep'!AC9)/2</f>
        <v>336.62141249999996</v>
      </c>
      <c r="W77"/>
      <c r="X77" s="18"/>
      <c r="Y77" s="433" t="s">
        <v>210</v>
      </c>
      <c r="Z77" s="433" t="s">
        <v>212</v>
      </c>
      <c r="AA77" s="433" t="s">
        <v>213</v>
      </c>
      <c r="AB77" s="433" t="s">
        <v>214</v>
      </c>
      <c r="AC77" s="433" t="s">
        <v>215</v>
      </c>
    </row>
    <row r="78" spans="1:30" ht="25.5">
      <c r="A78" s="244" t="s">
        <v>216</v>
      </c>
      <c r="B78" s="197"/>
      <c r="C78" s="44">
        <f>30696.13+(378.24+461.19+74.1+164.79)</f>
        <v>31774.45</v>
      </c>
      <c r="D78" s="44">
        <f>C78+((C78*2)/100)</f>
        <v>32409.939000000002</v>
      </c>
      <c r="E78" s="44">
        <f>(D78+((D78*2)/100))</f>
        <v>33058.137780000005</v>
      </c>
      <c r="F78" s="245">
        <f>D78/$D$82</f>
        <v>0.72231551424185336</v>
      </c>
      <c r="G78" s="246">
        <f>$E$84*F78</f>
        <v>5181.00919077041</v>
      </c>
      <c r="H78" s="246">
        <f>$E$83*F78+1500</f>
        <v>29377.128589229596</v>
      </c>
      <c r="I78" s="247">
        <f t="shared" ref="I78:I83" si="25">(H78)/$H$83</f>
        <v>0.7327042388836732</v>
      </c>
      <c r="J78" s="248" t="str">
        <f>A78</f>
        <v>CCT</v>
      </c>
      <c r="K78" s="249" t="e">
        <f>$K$88*F78</f>
        <v>#REF!</v>
      </c>
      <c r="L78" s="598"/>
      <c r="M78" s="598"/>
      <c r="P78" s="12"/>
      <c r="Q78" s="12"/>
      <c r="R78" s="1960"/>
      <c r="S78" s="12"/>
      <c r="T78" s="574" t="s">
        <v>194</v>
      </c>
      <c r="U78" s="573">
        <f>U74+U75+U76+U77</f>
        <v>42082.387603907024</v>
      </c>
      <c r="V78" s="12"/>
      <c r="W78"/>
      <c r="X78" s="433" t="s">
        <v>216</v>
      </c>
      <c r="Y78" s="434">
        <v>38526.050000000003</v>
      </c>
      <c r="Z78" s="434">
        <f>134000-AA78-Y78</f>
        <v>90028.922254841003</v>
      </c>
      <c r="AA78" s="434">
        <v>5445.0277451589882</v>
      </c>
      <c r="AB78" s="434">
        <v>134000</v>
      </c>
      <c r="AC78" s="433">
        <v>36382</v>
      </c>
      <c r="AD78" s="435">
        <f>AC78/$AC$80</f>
        <v>0.83769657617830584</v>
      </c>
    </row>
    <row r="79" spans="1:30" ht="25.5">
      <c r="A79" s="244" t="s">
        <v>217</v>
      </c>
      <c r="B79" s="197"/>
      <c r="C79" s="44"/>
      <c r="D79" s="44"/>
      <c r="E79" s="44">
        <v>1500</v>
      </c>
      <c r="F79" s="245"/>
      <c r="G79" s="246"/>
      <c r="H79" s="246">
        <v>1500</v>
      </c>
      <c r="I79" s="247">
        <f t="shared" si="25"/>
        <v>3.7411973569413177E-2</v>
      </c>
      <c r="J79" s="38"/>
      <c r="K79" s="250"/>
      <c r="L79" s="598"/>
      <c r="M79" s="598"/>
      <c r="P79" s="12"/>
      <c r="Q79" s="12"/>
      <c r="R79" s="1960"/>
      <c r="S79" s="12"/>
      <c r="T79" s="574" t="s">
        <v>195</v>
      </c>
      <c r="U79" s="573">
        <f>U78*15%</f>
        <v>6312.3581405860532</v>
      </c>
      <c r="V79" s="12"/>
      <c r="W79"/>
      <c r="X79" s="433" t="s">
        <v>218</v>
      </c>
      <c r="Y79" s="434">
        <v>561.39624515898822</v>
      </c>
      <c r="Z79" s="434">
        <v>3771.5264999999999</v>
      </c>
      <c r="AA79" s="434">
        <v>1054.9722548410123</v>
      </c>
      <c r="AB79" s="434">
        <f>SUM(Y79:AA79)</f>
        <v>5387.8950000000004</v>
      </c>
      <c r="AC79" s="433">
        <v>7049</v>
      </c>
      <c r="AD79" s="435">
        <f>AC79/$AC$80</f>
        <v>0.16230342382169419</v>
      </c>
    </row>
    <row r="80" spans="1:30" ht="25.5">
      <c r="A80" s="244" t="s">
        <v>219</v>
      </c>
      <c r="B80" s="197"/>
      <c r="C80" s="44">
        <v>7399.8</v>
      </c>
      <c r="D80" s="44">
        <f>C80+((C80*2)/100)</f>
        <v>7547.7960000000003</v>
      </c>
      <c r="E80" s="44">
        <f>D80+((D80*2)/100)</f>
        <v>7698.7519200000006</v>
      </c>
      <c r="F80" s="245">
        <f>D80/$D$82</f>
        <v>0.16821661247596312</v>
      </c>
      <c r="G80" s="246">
        <f>$E$84*F80</f>
        <v>1206.58050131042</v>
      </c>
      <c r="H80" s="246">
        <f>$E$83*F80</f>
        <v>6492.1714186895806</v>
      </c>
      <c r="I80" s="247">
        <f t="shared" si="25"/>
        <v>0.16192329701607616</v>
      </c>
      <c r="J80" s="38" t="str">
        <f>A80</f>
        <v>CC Argenton les Vallées</v>
      </c>
      <c r="K80" s="250" t="e">
        <f>$K$88*F80</f>
        <v>#REF!</v>
      </c>
      <c r="P80" s="12"/>
      <c r="Q80" s="12"/>
      <c r="R80" s="1961"/>
      <c r="S80" s="12"/>
      <c r="T80" s="574" t="s">
        <v>196</v>
      </c>
      <c r="U80" s="573">
        <f>U79+U78</f>
        <v>48394.745744493077</v>
      </c>
      <c r="V80" s="12"/>
      <c r="W80"/>
      <c r="X80" s="433" t="s">
        <v>220</v>
      </c>
      <c r="Y80" s="434">
        <v>39087.830533927787</v>
      </c>
      <c r="Z80" s="434">
        <v>93764.905602442479</v>
      </c>
      <c r="AA80" s="434">
        <v>6500</v>
      </c>
      <c r="AB80" s="434">
        <f>SUM(Y80:AA80)</f>
        <v>139352.73613637028</v>
      </c>
      <c r="AC80" s="433">
        <f>SUM(AC78:AC79)</f>
        <v>43431</v>
      </c>
      <c r="AD80" s="435">
        <f>AC80/$AC$80</f>
        <v>1</v>
      </c>
    </row>
    <row r="81" spans="1:28" ht="25.5" customHeight="1">
      <c r="A81" s="244" t="s">
        <v>221</v>
      </c>
      <c r="B81" s="197"/>
      <c r="C81" s="44">
        <v>4815.46</v>
      </c>
      <c r="D81" s="44">
        <f>C81+((C81*2)/100)</f>
        <v>4911.7691999999997</v>
      </c>
      <c r="E81" s="44">
        <f>D81+((D81*2)/100)</f>
        <v>5010.0045839999993</v>
      </c>
      <c r="F81" s="245">
        <f>D81/$D$82</f>
        <v>0.10946787328218348</v>
      </c>
      <c r="G81" s="246">
        <f>$E$84*F81</f>
        <v>785.18880791917013</v>
      </c>
      <c r="H81" s="246">
        <f>$E$83*F81</f>
        <v>4224.8157760808299</v>
      </c>
      <c r="I81" s="247">
        <f t="shared" si="25"/>
        <v>0.10537246410025056</v>
      </c>
      <c r="J81" s="38" t="str">
        <f>A81</f>
        <v>CC Saint-Varent</v>
      </c>
      <c r="K81" s="250" t="e">
        <f>$K$88*F81</f>
        <v>#REF!</v>
      </c>
      <c r="P81" s="12"/>
      <c r="Q81" s="12"/>
      <c r="R81" s="1962" t="s">
        <v>222</v>
      </c>
      <c r="S81" s="12"/>
      <c r="T81" s="574" t="s">
        <v>199</v>
      </c>
      <c r="U81" s="573">
        <f>U80*60%</f>
        <v>29036.847446695847</v>
      </c>
      <c r="V81" s="12"/>
      <c r="W81"/>
      <c r="X81" s="433"/>
      <c r="Y81" s="433"/>
      <c r="Z81" s="433"/>
      <c r="AA81" s="18"/>
      <c r="AB81" s="433"/>
    </row>
    <row r="82" spans="1:28" ht="25.5">
      <c r="A82" s="251" t="s">
        <v>223</v>
      </c>
      <c r="B82" s="198"/>
      <c r="C82" s="109">
        <f>SUM(C78:C81)</f>
        <v>43989.71</v>
      </c>
      <c r="D82" s="194">
        <f>SUM(D78:D81)</f>
        <v>44869.504200000003</v>
      </c>
      <c r="E82" s="194">
        <f>SUM(E78:E81)</f>
        <v>47266.894284000009</v>
      </c>
      <c r="F82" s="252">
        <f>SUM(F78:F81)</f>
        <v>0.99999999999999989</v>
      </c>
      <c r="G82" s="246">
        <f>$E$84*F82</f>
        <v>7172.7784999999994</v>
      </c>
      <c r="H82" s="246">
        <f>SUM(H78:H81)</f>
        <v>41594.115784000009</v>
      </c>
      <c r="I82" s="247">
        <f t="shared" si="25"/>
        <v>1.0374119735694132</v>
      </c>
      <c r="J82" s="38"/>
      <c r="K82" s="48"/>
      <c r="P82" s="12"/>
      <c r="Q82" s="12"/>
      <c r="R82" s="1962"/>
      <c r="S82" s="12"/>
      <c r="T82" s="574" t="s">
        <v>224</v>
      </c>
      <c r="U82" s="573">
        <f>U80*20%</f>
        <v>9678.949148898615</v>
      </c>
      <c r="V82" s="12"/>
      <c r="W82"/>
      <c r="X82" s="433"/>
      <c r="Y82" s="436"/>
      <c r="Z82" s="436"/>
      <c r="AA82" s="436"/>
      <c r="AB82" s="436"/>
    </row>
    <row r="83" spans="1:28" ht="25.5">
      <c r="A83" s="251" t="s">
        <v>225</v>
      </c>
      <c r="B83" s="198"/>
      <c r="C83" s="109"/>
      <c r="D83" s="109">
        <f>D82-D84</f>
        <v>37696.725700000003</v>
      </c>
      <c r="E83" s="109">
        <f>(E78+E80+E81)-E84</f>
        <v>38594.115784000009</v>
      </c>
      <c r="F83" s="107"/>
      <c r="G83" s="107"/>
      <c r="H83" s="253">
        <f>H78+H80+H81</f>
        <v>40094.115784000009</v>
      </c>
      <c r="I83" s="247">
        <f t="shared" si="25"/>
        <v>1</v>
      </c>
      <c r="J83" s="38"/>
      <c r="K83" s="48"/>
      <c r="P83" s="12"/>
      <c r="Q83" s="12"/>
      <c r="R83" s="1962"/>
      <c r="S83" s="12"/>
      <c r="T83" s="574" t="s">
        <v>226</v>
      </c>
      <c r="U83" s="573">
        <f>U80*20%</f>
        <v>9678.949148898615</v>
      </c>
      <c r="V83" s="12"/>
      <c r="W83"/>
      <c r="Y83" s="434"/>
      <c r="Z83" s="434"/>
      <c r="AA83" s="434"/>
      <c r="AB83" s="434"/>
    </row>
    <row r="84" spans="1:28">
      <c r="A84" s="251" t="s">
        <v>227</v>
      </c>
      <c r="B84" s="198"/>
      <c r="C84" s="109"/>
      <c r="D84" s="109">
        <f>V31</f>
        <v>7172.7785000000003</v>
      </c>
      <c r="E84" s="109">
        <f>V31</f>
        <v>7172.7785000000003</v>
      </c>
      <c r="F84" s="107"/>
      <c r="G84" s="107"/>
      <c r="H84" s="107"/>
      <c r="I84" s="107"/>
      <c r="J84" s="38"/>
      <c r="K84" s="48"/>
      <c r="P84" s="12"/>
      <c r="Q84" s="12"/>
      <c r="S84" s="12"/>
      <c r="T84" s="12"/>
      <c r="U84" s="10"/>
      <c r="V84" s="12"/>
      <c r="W84"/>
      <c r="AA84" s="3"/>
    </row>
    <row r="85" spans="1:28">
      <c r="A85" s="244" t="s">
        <v>228</v>
      </c>
      <c r="B85" s="197"/>
      <c r="C85" s="44">
        <v>9000</v>
      </c>
      <c r="D85" s="44">
        <v>9000</v>
      </c>
      <c r="E85" s="44">
        <v>10500</v>
      </c>
      <c r="F85" s="107"/>
      <c r="G85" s="107"/>
      <c r="H85" s="107"/>
      <c r="J85" s="38"/>
      <c r="K85" s="48"/>
      <c r="P85" s="12"/>
      <c r="Q85" s="12"/>
      <c r="S85" s="12"/>
      <c r="T85" s="12"/>
      <c r="U85" s="10"/>
      <c r="V85" s="12"/>
      <c r="W85"/>
      <c r="AA85" s="3"/>
    </row>
    <row r="86" spans="1:28">
      <c r="A86" s="254" t="s">
        <v>229</v>
      </c>
      <c r="B86" s="199"/>
      <c r="C86" s="44"/>
      <c r="D86" s="44" t="e">
        <f>#REF!-#REF!</f>
        <v>#REF!</v>
      </c>
      <c r="E86" s="243"/>
      <c r="F86" s="107"/>
      <c r="G86" s="107"/>
      <c r="H86" s="107"/>
      <c r="J86" s="38"/>
      <c r="K86" s="48"/>
      <c r="P86" s="12"/>
      <c r="Q86" s="12"/>
      <c r="S86" s="12"/>
      <c r="T86" s="12"/>
      <c r="U86" s="10"/>
      <c r="V86" s="12"/>
      <c r="W86"/>
      <c r="AA86" s="3"/>
    </row>
    <row r="87" spans="1:28">
      <c r="A87" s="255" t="s">
        <v>230</v>
      </c>
      <c r="B87" s="196"/>
      <c r="C87" s="44"/>
      <c r="D87" s="44" t="e">
        <f>D82+9000+D86-D84</f>
        <v>#REF!</v>
      </c>
      <c r="E87" s="243"/>
      <c r="F87" s="107" t="e">
        <f>D87/D92</f>
        <v>#REF!</v>
      </c>
      <c r="G87" s="107"/>
      <c r="H87" s="107"/>
      <c r="J87" s="112"/>
      <c r="K87" s="48"/>
      <c r="P87" s="12"/>
      <c r="Q87" s="12"/>
      <c r="S87" s="12"/>
      <c r="T87" s="12"/>
      <c r="U87" s="10"/>
      <c r="V87" s="12"/>
      <c r="W87"/>
      <c r="AA87" s="3"/>
    </row>
    <row r="88" spans="1:28">
      <c r="A88" s="255" t="s">
        <v>231</v>
      </c>
      <c r="B88" s="196"/>
      <c r="C88" s="44"/>
      <c r="D88" s="44" t="e">
        <f>(D82-#REF!*2)+D85-D84</f>
        <v>#REF!</v>
      </c>
      <c r="E88" s="243"/>
      <c r="F88" s="107" t="e">
        <f>D88/D93</f>
        <v>#REF!</v>
      </c>
      <c r="G88" s="107"/>
      <c r="H88" s="107"/>
      <c r="J88" s="47" t="s">
        <v>232</v>
      </c>
      <c r="K88" s="49" t="e">
        <f>D93-D91-D88</f>
        <v>#REF!</v>
      </c>
      <c r="P88" s="12"/>
      <c r="Q88" s="12"/>
      <c r="S88" s="12"/>
      <c r="T88" s="12"/>
      <c r="U88" s="10"/>
      <c r="V88" s="12"/>
      <c r="W88"/>
      <c r="AA88" s="3"/>
    </row>
    <row r="89" spans="1:28">
      <c r="A89" s="45"/>
      <c r="B89" s="46"/>
      <c r="C89" s="44"/>
      <c r="D89" s="44"/>
      <c r="E89" s="243"/>
      <c r="F89" s="107"/>
      <c r="G89" s="107"/>
      <c r="H89" s="107"/>
      <c r="I89" s="39"/>
      <c r="J89" s="39"/>
      <c r="K89" s="111"/>
      <c r="P89" s="12"/>
      <c r="Q89" s="12"/>
      <c r="S89" s="12"/>
      <c r="T89" s="12"/>
      <c r="U89" s="10"/>
      <c r="V89" s="12"/>
      <c r="W89"/>
      <c r="AA89" s="3"/>
    </row>
    <row r="90" spans="1:28">
      <c r="A90" s="195" t="s">
        <v>233</v>
      </c>
      <c r="B90" s="195"/>
      <c r="C90" s="44"/>
      <c r="D90" s="44" t="e">
        <f>H7+#REF!</f>
        <v>#REF!</v>
      </c>
      <c r="E90" s="243"/>
      <c r="F90" s="107" t="e">
        <f>D90/D92</f>
        <v>#REF!</v>
      </c>
      <c r="G90" s="107"/>
      <c r="H90" s="107"/>
      <c r="I90" s="40"/>
      <c r="J90" s="40"/>
      <c r="K90" s="41"/>
      <c r="P90" s="12"/>
      <c r="Q90" s="12"/>
      <c r="S90" s="12"/>
      <c r="T90" s="12"/>
      <c r="U90" s="10"/>
      <c r="V90" s="12"/>
      <c r="W90"/>
      <c r="AA90" s="3"/>
    </row>
    <row r="91" spans="1:28">
      <c r="A91" s="195" t="s">
        <v>234</v>
      </c>
      <c r="B91" s="195"/>
      <c r="C91" s="44"/>
      <c r="D91" s="44">
        <f>H7</f>
        <v>71727.81</v>
      </c>
      <c r="E91" s="243"/>
      <c r="F91" s="107">
        <f>D91/D93</f>
        <v>0.3911691562238786</v>
      </c>
      <c r="G91" s="107"/>
      <c r="H91" s="107"/>
      <c r="I91" s="110"/>
      <c r="J91" s="110"/>
      <c r="K91" s="41"/>
      <c r="L91" s="9"/>
      <c r="P91" s="12"/>
      <c r="Q91" s="12"/>
      <c r="S91" s="12"/>
      <c r="T91" s="12"/>
      <c r="U91" s="10"/>
      <c r="V91" s="12"/>
      <c r="W91"/>
      <c r="AA91" s="3"/>
    </row>
    <row r="92" spans="1:28">
      <c r="A92" s="200" t="s">
        <v>235</v>
      </c>
      <c r="B92" s="200"/>
      <c r="C92" s="44"/>
      <c r="D92" s="44">
        <f>H52</f>
        <v>200267.24009837833</v>
      </c>
      <c r="E92" s="243"/>
      <c r="F92" s="107" t="e">
        <f>F90+F87</f>
        <v>#REF!</v>
      </c>
      <c r="G92" s="107"/>
      <c r="H92" s="107"/>
      <c r="I92" s="12"/>
      <c r="K92" s="41"/>
      <c r="P92" s="12"/>
      <c r="Q92" s="12"/>
      <c r="S92" s="12"/>
      <c r="T92" s="12"/>
      <c r="U92" s="10"/>
      <c r="V92" s="12"/>
      <c r="W92"/>
      <c r="AA92" s="3"/>
    </row>
    <row r="93" spans="1:28">
      <c r="A93" s="255" t="s">
        <v>236</v>
      </c>
      <c r="B93" s="196"/>
      <c r="C93" s="44"/>
      <c r="D93" s="44">
        <f>H52-B52</f>
        <v>183367.75499484391</v>
      </c>
      <c r="E93" s="256"/>
      <c r="F93" s="108" t="e">
        <f>F91+F88</f>
        <v>#REF!</v>
      </c>
      <c r="G93" s="108"/>
      <c r="H93" s="108"/>
      <c r="I93" s="42"/>
      <c r="J93" s="42"/>
      <c r="K93" s="43"/>
      <c r="P93" s="12"/>
      <c r="Q93" s="12"/>
      <c r="S93" s="12"/>
      <c r="T93" s="12"/>
      <c r="U93" s="10"/>
      <c r="V93" s="12"/>
      <c r="W93"/>
      <c r="AA93" s="3"/>
    </row>
    <row r="94" spans="1:28">
      <c r="A94" s="12"/>
      <c r="B94" s="12"/>
      <c r="C94" s="12"/>
      <c r="D94" s="12"/>
      <c r="E94" s="12"/>
      <c r="F94" s="12"/>
      <c r="G94" s="10"/>
      <c r="H94" s="12"/>
      <c r="I94" s="12"/>
    </row>
    <row r="95" spans="1:28">
      <c r="A95" s="12"/>
      <c r="B95" s="12"/>
      <c r="C95" s="12"/>
      <c r="D95" s="2" t="s">
        <v>214</v>
      </c>
      <c r="E95" s="2" t="s">
        <v>237</v>
      </c>
      <c r="F95" s="2"/>
      <c r="G95" s="2"/>
      <c r="H95" s="12"/>
      <c r="I95" s="12"/>
    </row>
    <row r="96" spans="1:28">
      <c r="A96" s="257"/>
      <c r="B96" s="12"/>
      <c r="C96" s="102">
        <v>0.7</v>
      </c>
      <c r="D96" s="31">
        <f>(H7*100)/70</f>
        <v>102468.3</v>
      </c>
      <c r="E96" s="31">
        <f>D92-B52</f>
        <v>183367.75499484391</v>
      </c>
      <c r="F96" s="31">
        <f>D96-D93</f>
        <v>-80899.454994843909</v>
      </c>
      <c r="G96" s="2"/>
      <c r="H96" s="12"/>
      <c r="M96"/>
      <c r="N96"/>
      <c r="O96"/>
      <c r="P96" s="3"/>
      <c r="Q96" s="3"/>
      <c r="R96"/>
    </row>
    <row r="97" spans="1:24">
      <c r="A97" s="12"/>
      <c r="B97" s="12"/>
      <c r="C97" s="102">
        <v>0.3</v>
      </c>
      <c r="D97" s="2">
        <f>D92*0.3</f>
        <v>60080.172029513495</v>
      </c>
      <c r="E97" s="2" t="e">
        <f>D87-D97</f>
        <v>#REF!</v>
      </c>
      <c r="F97" s="2"/>
      <c r="G97" s="2"/>
      <c r="H97" s="12"/>
      <c r="M97"/>
      <c r="N97"/>
      <c r="O97"/>
      <c r="P97" s="3"/>
      <c r="Q97" s="3"/>
      <c r="R97"/>
    </row>
    <row r="98" spans="1:24">
      <c r="A98" s="12"/>
      <c r="B98" s="12"/>
      <c r="C98" s="12"/>
      <c r="D98" s="12"/>
      <c r="E98" s="12"/>
      <c r="F98" s="12"/>
      <c r="G98" s="10"/>
      <c r="H98" s="12"/>
      <c r="I98" s="28"/>
      <c r="M98"/>
      <c r="N98"/>
      <c r="O98"/>
      <c r="P98" s="3"/>
      <c r="Q98" s="3"/>
      <c r="R98"/>
    </row>
    <row r="99" spans="1:24" ht="26.25">
      <c r="A99" s="12"/>
      <c r="B99" s="10"/>
      <c r="C99" s="10">
        <v>2011</v>
      </c>
      <c r="D99" s="10">
        <v>2012</v>
      </c>
      <c r="E99" s="10">
        <v>2013</v>
      </c>
      <c r="F99" s="10" t="s">
        <v>238</v>
      </c>
      <c r="G99" s="12"/>
      <c r="H99" s="10" t="s">
        <v>239</v>
      </c>
      <c r="I99" s="10" t="s">
        <v>240</v>
      </c>
      <c r="J99" s="258" t="s">
        <v>241</v>
      </c>
      <c r="N99"/>
      <c r="O99"/>
      <c r="P99"/>
      <c r="Q99"/>
      <c r="R99" s="3"/>
      <c r="W99"/>
      <c r="X99" s="3"/>
    </row>
    <row r="100" spans="1:24" ht="26.25">
      <c r="A100" s="12"/>
      <c r="B100" s="10" t="s">
        <v>216</v>
      </c>
      <c r="C100" s="189">
        <f>C78+C106</f>
        <v>104803.01</v>
      </c>
      <c r="D100" s="189">
        <f>D78+D106</f>
        <v>106899.0702</v>
      </c>
      <c r="E100" s="189">
        <f>E78+E106</f>
        <v>109037.05160400001</v>
      </c>
      <c r="F100" s="189">
        <f>D100-C100</f>
        <v>2096.0602000000072</v>
      </c>
      <c r="G100" s="10" t="s">
        <v>216</v>
      </c>
      <c r="H100" s="189" t="e">
        <f>(#REF!*F78)</f>
        <v>#REF!</v>
      </c>
      <c r="I100" s="189" t="e">
        <f>H100+H32</f>
        <v>#REF!</v>
      </c>
      <c r="J100" s="259" t="e">
        <f>I100+V32+P32</f>
        <v>#REF!</v>
      </c>
      <c r="N100"/>
      <c r="O100"/>
      <c r="P100"/>
      <c r="Q100"/>
      <c r="R100" s="3"/>
      <c r="W100"/>
      <c r="X100" s="3"/>
    </row>
    <row r="101" spans="1:24" ht="26.25">
      <c r="A101" s="12"/>
      <c r="B101" s="10" t="s">
        <v>242</v>
      </c>
      <c r="C101" s="189">
        <f t="shared" ref="C101:E102" si="26">C80+C108</f>
        <v>12784.8</v>
      </c>
      <c r="D101" s="189">
        <f t="shared" si="26"/>
        <v>13040.495999999999</v>
      </c>
      <c r="E101" s="260">
        <f t="shared" si="26"/>
        <v>13301.305920000001</v>
      </c>
      <c r="F101" s="189">
        <f>D101-C101</f>
        <v>255.69599999999991</v>
      </c>
      <c r="G101" s="10" t="s">
        <v>242</v>
      </c>
      <c r="H101" s="189" t="e">
        <f>(#REF!*F80)</f>
        <v>#REF!</v>
      </c>
      <c r="I101" s="189" t="e">
        <f>H101+H34</f>
        <v>#REF!</v>
      </c>
      <c r="J101" s="259" t="e">
        <f>I101+P34+V34</f>
        <v>#REF!</v>
      </c>
      <c r="N101"/>
      <c r="O101"/>
      <c r="P101"/>
      <c r="Q101"/>
      <c r="R101" s="3"/>
      <c r="W101"/>
      <c r="X101" s="3"/>
    </row>
    <row r="102" spans="1:24" ht="26.25">
      <c r="A102" s="12"/>
      <c r="B102" s="10" t="s">
        <v>243</v>
      </c>
      <c r="C102" s="189">
        <f t="shared" si="26"/>
        <v>10613.46</v>
      </c>
      <c r="D102" s="189">
        <f t="shared" si="26"/>
        <v>10825.7292</v>
      </c>
      <c r="E102" s="260">
        <f t="shared" si="26"/>
        <v>11042.243783999998</v>
      </c>
      <c r="F102" s="189">
        <f>D102-C102</f>
        <v>212.26920000000064</v>
      </c>
      <c r="G102" s="10" t="s">
        <v>243</v>
      </c>
      <c r="H102" s="189" t="e">
        <f>(#REF!*F81)</f>
        <v>#REF!</v>
      </c>
      <c r="I102" s="189" t="e">
        <f>H102+#REF!</f>
        <v>#REF!</v>
      </c>
      <c r="J102" s="259" t="e">
        <f>I102+#REF!+#REF!</f>
        <v>#REF!</v>
      </c>
      <c r="N102"/>
      <c r="O102"/>
      <c r="P102"/>
      <c r="Q102"/>
      <c r="R102" s="3"/>
      <c r="W102"/>
      <c r="X102" s="3"/>
    </row>
    <row r="103" spans="1:24" ht="26.25">
      <c r="A103" s="12"/>
      <c r="B103" s="10" t="s">
        <v>244</v>
      </c>
      <c r="C103" s="189">
        <f>C107</f>
        <v>3806</v>
      </c>
      <c r="D103" s="189">
        <f>D107</f>
        <v>3882.12</v>
      </c>
      <c r="E103" s="260">
        <f>E107</f>
        <v>3959.7624000000001</v>
      </c>
      <c r="F103" s="189">
        <f>D103-C103</f>
        <v>76.119999999999891</v>
      </c>
      <c r="G103" s="10" t="s">
        <v>245</v>
      </c>
      <c r="H103" s="10"/>
      <c r="I103" s="12"/>
      <c r="J103" s="259">
        <f>P33</f>
        <v>1500</v>
      </c>
      <c r="N103"/>
      <c r="O103"/>
      <c r="P103"/>
      <c r="Q103"/>
      <c r="R103" s="3"/>
      <c r="W103"/>
      <c r="X103" s="3"/>
    </row>
    <row r="104" spans="1:24">
      <c r="A104" s="12"/>
      <c r="B104" s="10"/>
      <c r="C104" s="10"/>
      <c r="D104" s="10"/>
      <c r="E104" s="10"/>
      <c r="F104" s="10" t="s">
        <v>214</v>
      </c>
      <c r="G104" s="189" t="e">
        <f>SUM(H100:H103)</f>
        <v>#REF!</v>
      </c>
      <c r="H104" s="189" t="e">
        <f>SUM(I100:I103)</f>
        <v>#REF!</v>
      </c>
      <c r="I104" s="189" t="e">
        <f>SUM(J100:J103)</f>
        <v>#REF!</v>
      </c>
      <c r="M104"/>
      <c r="N104"/>
      <c r="O104"/>
      <c r="P104" s="3"/>
      <c r="Q104" s="3"/>
      <c r="R104"/>
    </row>
    <row r="105" spans="1:24">
      <c r="A105"/>
      <c r="B105" s="5" t="s">
        <v>246</v>
      </c>
      <c r="C105" s="5" t="s">
        <v>247</v>
      </c>
      <c r="D105" s="7" t="s">
        <v>248</v>
      </c>
      <c r="E105" s="7" t="s">
        <v>249</v>
      </c>
      <c r="F105" s="103" t="s">
        <v>46</v>
      </c>
      <c r="G105" s="103" t="s">
        <v>250</v>
      </c>
      <c r="H105" s="103" t="s">
        <v>251</v>
      </c>
      <c r="I105" s="12"/>
      <c r="P105" s="12"/>
      <c r="Q105" s="12"/>
      <c r="R105" s="10"/>
      <c r="S105" s="12"/>
      <c r="W105"/>
      <c r="X105" s="3"/>
    </row>
    <row r="106" spans="1:24">
      <c r="A106"/>
      <c r="B106" s="2" t="str">
        <f>Y32</f>
        <v>CC Thouarsais</v>
      </c>
      <c r="C106" s="9">
        <f>71194+1834.56</f>
        <v>73028.56</v>
      </c>
      <c r="D106" s="9">
        <f>(Tableau15[[#This Row],[Subv. ML 2011]])+((Tableau15[[#This Row],[Subv. ML 2011]]*2)/100)</f>
        <v>74489.131200000003</v>
      </c>
      <c r="E106" s="9">
        <f>(Tableau15[[#This Row],[Subv. ML 2012]])+((Tableau15[[#This Row],[Subv. ML 2012]]*2)/100)</f>
        <v>75978.913824000003</v>
      </c>
      <c r="F106" s="29">
        <f>Tableau15[[#This Row],[Subv. ML 2012]]/$D$110</f>
        <v>0.82970443625112988</v>
      </c>
      <c r="G106" s="29"/>
      <c r="H106" s="29">
        <f>Tableau15[[#This Row],[Subv. ML 2012]]/(D110-D107)</f>
        <v>0.86720350507697519</v>
      </c>
      <c r="I106" s="12"/>
      <c r="P106" s="12"/>
      <c r="Q106" s="12"/>
      <c r="R106" s="10"/>
      <c r="S106" s="12"/>
      <c r="W106"/>
      <c r="X106" s="3"/>
    </row>
    <row r="107" spans="1:24">
      <c r="A107"/>
      <c r="B107" s="2" t="str">
        <f>Y33</f>
        <v>CC Airvault - Val du Thouet</v>
      </c>
      <c r="C107" s="9">
        <v>3806</v>
      </c>
      <c r="D107" s="9">
        <f>(Tableau15[[#This Row],[Subv. ML 2011]])+((Tableau15[[#This Row],[Subv. ML 2011]]*2)/100)</f>
        <v>3882.12</v>
      </c>
      <c r="E107" s="9">
        <f>(Tableau15[[#This Row],[Subv. ML 2012]])+((Tableau15[[#This Row],[Subv. ML 2012]]*2)/100)</f>
        <v>3959.7624000000001</v>
      </c>
      <c r="F107" s="29">
        <f>Tableau15[[#This Row],[Subv. ML 2012]]/$D$110</f>
        <v>4.3241371380892631E-2</v>
      </c>
      <c r="G107" s="29"/>
      <c r="H107" s="29"/>
      <c r="I107" s="12"/>
      <c r="P107" s="12"/>
      <c r="Q107" s="12"/>
      <c r="R107" s="10"/>
      <c r="S107" s="12"/>
      <c r="W107"/>
      <c r="X107" s="3"/>
    </row>
    <row r="108" spans="1:24">
      <c r="A108"/>
      <c r="B108" s="2" t="str">
        <f>Y34</f>
        <v>Mairie de Loudun</v>
      </c>
      <c r="C108" s="9">
        <v>5385</v>
      </c>
      <c r="D108" s="9">
        <f>(Tableau15[[#This Row],[Subv. ML 2011]])+((Tableau15[[#This Row],[Subv. ML 2011]]*2)/100)</f>
        <v>5492.7</v>
      </c>
      <c r="E108" s="9">
        <f>(Tableau15[[#This Row],[Subv. ML 2012]])+((Tableau15[[#This Row],[Subv. ML 2012]]*2)/100)</f>
        <v>5602.5540000000001</v>
      </c>
      <c r="F108" s="29">
        <f>Tableau15[[#This Row],[Subv. ML 2012]]/$D$110</f>
        <v>6.1180973433028585E-2</v>
      </c>
      <c r="G108" s="29"/>
      <c r="H108" s="29">
        <f>Tableau15[[#This Row],[Subv. ML 2012]]/(D110-D107)</f>
        <v>6.3946090061744482E-2</v>
      </c>
      <c r="I108" s="12"/>
      <c r="P108" s="12"/>
      <c r="Q108" s="12"/>
      <c r="R108" s="10"/>
      <c r="S108" s="12"/>
      <c r="W108"/>
      <c r="X108" s="3"/>
    </row>
    <row r="109" spans="1:24">
      <c r="A109"/>
      <c r="B109" s="2" t="e">
        <f>#REF!</f>
        <v>#REF!</v>
      </c>
      <c r="C109" s="9">
        <v>5798</v>
      </c>
      <c r="D109" s="9">
        <f>(Tableau15[[#This Row],[Subv. ML 2011]])+((Tableau15[[#This Row],[Subv. ML 2011]]*2)/100)</f>
        <v>5913.96</v>
      </c>
      <c r="E109" s="9">
        <f>(Tableau15[[#This Row],[Subv. ML 2012]])+((Tableau15[[#This Row],[Subv. ML 2012]]*2)/100)</f>
        <v>6032.2392</v>
      </c>
      <c r="F109" s="29">
        <f>Tableau15[[#This Row],[Subv. ML 2012]]/$D$110</f>
        <v>6.5873218934948893E-2</v>
      </c>
      <c r="G109" s="29"/>
      <c r="H109" s="29">
        <f>Tableau15[[#This Row],[Subv. ML 2012]]/(D110-D107)</f>
        <v>6.8850404861280329E-2</v>
      </c>
      <c r="I109" s="12"/>
      <c r="P109" s="12"/>
      <c r="Q109" s="12"/>
      <c r="R109" s="10"/>
      <c r="S109" s="12"/>
      <c r="W109"/>
      <c r="X109" s="3"/>
    </row>
    <row r="110" spans="1:24">
      <c r="A110"/>
      <c r="B110" s="104" t="str">
        <f>Y31</f>
        <v xml:space="preserve">Collectivités locales : </v>
      </c>
      <c r="C110" s="105">
        <f t="shared" ref="C110:H110" si="27">SUM(C106:C109)</f>
        <v>88017.56</v>
      </c>
      <c r="D110" s="105">
        <f t="shared" si="27"/>
        <v>89777.911200000002</v>
      </c>
      <c r="E110" s="105">
        <f t="shared" si="27"/>
        <v>91573.46942400001</v>
      </c>
      <c r="F110" s="106">
        <f t="shared" si="27"/>
        <v>1</v>
      </c>
      <c r="G110" s="105">
        <f t="shared" si="27"/>
        <v>0</v>
      </c>
      <c r="H110" s="106">
        <f t="shared" si="27"/>
        <v>1</v>
      </c>
      <c r="I110" s="12"/>
      <c r="P110" s="12"/>
      <c r="Q110" s="12"/>
      <c r="R110" s="10"/>
      <c r="S110" s="12"/>
      <c r="W110"/>
      <c r="X110" s="3"/>
    </row>
    <row r="111" spans="1:24">
      <c r="A111"/>
      <c r="B111"/>
      <c r="C111"/>
      <c r="F111" s="3"/>
      <c r="H111" s="12"/>
      <c r="I111" s="12"/>
    </row>
    <row r="112" spans="1:24">
      <c r="A112"/>
      <c r="B112" s="2" t="s">
        <v>252</v>
      </c>
      <c r="C112" s="27" t="s">
        <v>253</v>
      </c>
      <c r="D112" s="27" t="s">
        <v>46</v>
      </c>
      <c r="E112" s="27" t="s">
        <v>254</v>
      </c>
      <c r="F112" s="4" t="s">
        <v>246</v>
      </c>
      <c r="G112" s="97" t="s">
        <v>255</v>
      </c>
      <c r="H112" s="12"/>
      <c r="I112" s="12"/>
    </row>
    <row r="113" spans="1:23" ht="18">
      <c r="A113"/>
      <c r="B113" s="31"/>
      <c r="C113" s="32"/>
      <c r="D113" s="29"/>
      <c r="E113" s="29"/>
      <c r="F113" s="29"/>
      <c r="G113" s="98"/>
      <c r="H113" s="12"/>
      <c r="I113" s="12"/>
      <c r="J113"/>
      <c r="K113"/>
      <c r="L113"/>
      <c r="M113"/>
      <c r="N113"/>
      <c r="O113"/>
      <c r="P113"/>
      <c r="Q113"/>
      <c r="R113"/>
      <c r="W113"/>
    </row>
    <row r="114" spans="1:23" ht="18">
      <c r="A114"/>
      <c r="B114" s="31" t="str">
        <f>Y9</f>
        <v>CPO ML - "socle"</v>
      </c>
      <c r="C114" s="32">
        <f>P6</f>
        <v>391466.15221005166</v>
      </c>
      <c r="D114" s="29" t="e">
        <f t="shared" ref="D114:D121" si="28">C114/$C$121</f>
        <v>#REF!</v>
      </c>
      <c r="E114" s="36">
        <f>P6</f>
        <v>391466.15221005166</v>
      </c>
      <c r="F114" s="29"/>
      <c r="G114" s="98" t="e">
        <f t="shared" ref="G114:G121" si="29">E114/$E$121</f>
        <v>#REF!</v>
      </c>
      <c r="H114" s="12"/>
      <c r="I114" s="12"/>
      <c r="J114"/>
      <c r="K114"/>
      <c r="L114"/>
      <c r="M114"/>
      <c r="N114"/>
      <c r="O114"/>
      <c r="P114"/>
      <c r="Q114"/>
      <c r="R114"/>
      <c r="W114"/>
    </row>
    <row r="115" spans="1:23" ht="18">
      <c r="A115"/>
      <c r="B115" s="31" t="str">
        <f>Y24</f>
        <v xml:space="preserve">Région Poitou-Charentes </v>
      </c>
      <c r="C115" s="32" t="e">
        <f>#REF!</f>
        <v>#REF!</v>
      </c>
      <c r="D115" s="29" t="e">
        <f t="shared" si="28"/>
        <v>#REF!</v>
      </c>
      <c r="E115" s="36">
        <f>N24+J24</f>
        <v>89494</v>
      </c>
      <c r="F115" s="29"/>
      <c r="G115" s="98" t="e">
        <f t="shared" si="29"/>
        <v>#REF!</v>
      </c>
      <c r="H115" s="12"/>
      <c r="I115" s="12"/>
      <c r="J115"/>
      <c r="K115"/>
      <c r="L115"/>
      <c r="M115"/>
      <c r="N115"/>
      <c r="O115"/>
      <c r="P115"/>
      <c r="Q115"/>
      <c r="R115"/>
      <c r="W115"/>
    </row>
    <row r="116" spans="1:23" ht="18">
      <c r="A116"/>
      <c r="B116" s="31" t="str">
        <f>Y32</f>
        <v>CC Thouarsais</v>
      </c>
      <c r="C116" s="32">
        <f>P32</f>
        <v>85527.476142098996</v>
      </c>
      <c r="D116" s="29" t="e">
        <f t="shared" si="28"/>
        <v>#REF!</v>
      </c>
      <c r="E116" s="36">
        <f>P32</f>
        <v>85527.476142098996</v>
      </c>
      <c r="F116" s="29"/>
      <c r="G116" s="98" t="e">
        <f t="shared" si="29"/>
        <v>#REF!</v>
      </c>
      <c r="H116" s="12"/>
      <c r="I116" s="12"/>
      <c r="J116"/>
      <c r="K116"/>
      <c r="L116"/>
      <c r="M116"/>
      <c r="N116"/>
      <c r="O116"/>
      <c r="P116"/>
      <c r="Q116"/>
      <c r="R116"/>
      <c r="W116"/>
    </row>
    <row r="117" spans="1:23" ht="18">
      <c r="A117"/>
      <c r="B117" s="31" t="str">
        <f>Y33</f>
        <v>CC Airvault - Val du Thouet</v>
      </c>
      <c r="C117" s="32">
        <f>P33</f>
        <v>1500</v>
      </c>
      <c r="D117" s="29" t="e">
        <f t="shared" si="28"/>
        <v>#REF!</v>
      </c>
      <c r="E117" s="36">
        <f>P33</f>
        <v>1500</v>
      </c>
      <c r="F117" s="29"/>
      <c r="G117" s="98" t="e">
        <f t="shared" si="29"/>
        <v>#REF!</v>
      </c>
      <c r="H117" s="12"/>
      <c r="I117" s="12"/>
      <c r="J117"/>
      <c r="K117"/>
      <c r="L117"/>
      <c r="M117"/>
      <c r="N117"/>
      <c r="O117"/>
      <c r="P117"/>
      <c r="Q117"/>
      <c r="R117"/>
      <c r="W117"/>
    </row>
    <row r="118" spans="1:23" ht="18">
      <c r="A118"/>
      <c r="B118" s="31" t="str">
        <f>Y34</f>
        <v>Mairie de Loudun</v>
      </c>
      <c r="C118" s="32">
        <f>P34</f>
        <v>0</v>
      </c>
      <c r="D118" s="29" t="e">
        <f t="shared" si="28"/>
        <v>#REF!</v>
      </c>
      <c r="E118" s="36">
        <f>P34</f>
        <v>0</v>
      </c>
      <c r="F118" s="29"/>
      <c r="G118" s="98" t="e">
        <f t="shared" si="29"/>
        <v>#REF!</v>
      </c>
      <c r="H118" s="12"/>
      <c r="I118" s="12"/>
      <c r="J118"/>
      <c r="K118"/>
      <c r="L118"/>
      <c r="M118"/>
      <c r="N118"/>
      <c r="O118"/>
      <c r="P118"/>
      <c r="Q118"/>
      <c r="R118"/>
      <c r="W118"/>
    </row>
    <row r="119" spans="1:23" ht="18">
      <c r="A119"/>
      <c r="B119" s="31" t="e">
        <f>#REF!</f>
        <v>#REF!</v>
      </c>
      <c r="C119" s="32" t="e">
        <f>#REF!</f>
        <v>#REF!</v>
      </c>
      <c r="D119" s="29" t="e">
        <f t="shared" si="28"/>
        <v>#REF!</v>
      </c>
      <c r="E119" s="36" t="e">
        <f>#REF!</f>
        <v>#REF!</v>
      </c>
      <c r="F119" s="29"/>
      <c r="G119" s="98" t="e">
        <f t="shared" si="29"/>
        <v>#REF!</v>
      </c>
      <c r="H119" s="12"/>
      <c r="I119" s="12"/>
      <c r="J119"/>
      <c r="K119"/>
      <c r="L119"/>
      <c r="M119"/>
      <c r="N119"/>
      <c r="O119"/>
      <c r="P119"/>
      <c r="Q119"/>
      <c r="R119"/>
      <c r="W119"/>
    </row>
    <row r="120" spans="1:23" ht="18">
      <c r="A120"/>
      <c r="B120" s="31" t="str">
        <f>Y35</f>
        <v>DR Pole Emploi</v>
      </c>
      <c r="C120" s="32"/>
      <c r="D120" s="35" t="e">
        <f t="shared" si="28"/>
        <v>#REF!</v>
      </c>
      <c r="E120" s="36">
        <f>X35</f>
        <v>27887.27</v>
      </c>
      <c r="F120" s="29"/>
      <c r="G120" s="98" t="e">
        <f t="shared" si="29"/>
        <v>#REF!</v>
      </c>
      <c r="H120" s="12"/>
      <c r="I120" s="12"/>
      <c r="J120"/>
      <c r="K120"/>
      <c r="L120"/>
      <c r="M120"/>
      <c r="N120"/>
      <c r="O120"/>
      <c r="P120"/>
      <c r="Q120"/>
      <c r="R120"/>
      <c r="W120"/>
    </row>
    <row r="121" spans="1:23" ht="18">
      <c r="A121"/>
      <c r="B121" s="33" t="s">
        <v>256</v>
      </c>
      <c r="C121" s="34" t="e">
        <f>SUM(C114:C119)</f>
        <v>#REF!</v>
      </c>
      <c r="D121" s="30" t="e">
        <f t="shared" si="28"/>
        <v>#REF!</v>
      </c>
      <c r="E121" s="34" t="e">
        <f>SUBTOTAL(109,E113:E120)</f>
        <v>#REF!</v>
      </c>
      <c r="F121" s="29"/>
      <c r="G121" s="99" t="e">
        <f t="shared" si="29"/>
        <v>#REF!</v>
      </c>
      <c r="H121" s="12"/>
      <c r="I121" s="12"/>
      <c r="J121"/>
      <c r="K121"/>
      <c r="L121"/>
      <c r="M121"/>
      <c r="N121"/>
      <c r="O121"/>
      <c r="P121"/>
      <c r="Q121"/>
      <c r="R121"/>
      <c r="W121"/>
    </row>
  </sheetData>
  <mergeCells count="17">
    <mergeCell ref="T73:U73"/>
    <mergeCell ref="R74:R80"/>
    <mergeCell ref="R81:R83"/>
    <mergeCell ref="U64:V64"/>
    <mergeCell ref="E58:H58"/>
    <mergeCell ref="E70:G70"/>
    <mergeCell ref="E72:G72"/>
    <mergeCell ref="J63:K63"/>
    <mergeCell ref="J64:K64"/>
    <mergeCell ref="L64:P64"/>
    <mergeCell ref="R64:T64"/>
    <mergeCell ref="A1:X1"/>
    <mergeCell ref="A2:A5"/>
    <mergeCell ref="B2:H4"/>
    <mergeCell ref="X2:X5"/>
    <mergeCell ref="J2:P4"/>
    <mergeCell ref="R2:V4"/>
  </mergeCells>
  <pageMargins left="0.25" right="0.25" top="0.75" bottom="0.75" header="0.3" footer="0.3"/>
  <pageSetup paperSize="8" scale="45" orientation="landscape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40"/>
  <sheetViews>
    <sheetView zoomScale="85" zoomScaleNormal="85" workbookViewId="0">
      <pane xSplit="1" ySplit="5" topLeftCell="B45" activePane="bottomRight" state="frozen"/>
      <selection activeCell="D23" activeCellId="4" sqref="L23 J23 H23 F23 D23"/>
      <selection pane="topRight" activeCell="D23" activeCellId="4" sqref="L23 J23 H23 F23 D23"/>
      <selection pane="bottomLeft" activeCell="D23" activeCellId="4" sqref="L23 J23 H23 F23 D23"/>
      <selection pane="bottomRight" activeCell="AM39" sqref="AM39"/>
    </sheetView>
  </sheetViews>
  <sheetFormatPr baseColWidth="10" defaultColWidth="11.42578125" defaultRowHeight="12.75"/>
  <cols>
    <col min="1" max="1" width="28.7109375" bestFit="1" customWidth="1"/>
    <col min="2" max="2" width="1.28515625" hidden="1" customWidth="1"/>
    <col min="3" max="3" width="6.28515625" hidden="1" customWidth="1"/>
    <col min="4" max="4" width="11.5703125" hidden="1" customWidth="1"/>
    <col min="5" max="5" width="6.140625" hidden="1" customWidth="1"/>
    <col min="6" max="6" width="9.28515625" hidden="1" customWidth="1"/>
    <col min="7" max="7" width="6.140625" hidden="1" customWidth="1"/>
    <col min="8" max="8" width="4.5703125" hidden="1" customWidth="1"/>
    <col min="9" max="9" width="11.5703125" hidden="1" customWidth="1"/>
    <col min="10" max="10" width="6.140625" hidden="1" customWidth="1"/>
    <col min="11" max="11" width="9.28515625" hidden="1" customWidth="1"/>
    <col min="12" max="12" width="5.85546875" hidden="1" customWidth="1"/>
    <col min="13" max="13" width="5.140625" hidden="1" customWidth="1"/>
    <col min="14" max="14" width="2" hidden="1" customWidth="1"/>
    <col min="15" max="15" width="16.140625" hidden="1" customWidth="1"/>
    <col min="16" max="16" width="5.5703125" hidden="1" customWidth="1"/>
    <col min="17" max="17" width="9.42578125" hidden="1" customWidth="1"/>
    <col min="18" max="18" width="6.140625" hidden="1" customWidth="1"/>
    <col min="19" max="19" width="8.28515625" hidden="1" customWidth="1"/>
    <col min="20" max="20" width="6.140625" hidden="1" customWidth="1"/>
    <col min="21" max="21" width="9.28515625" hidden="1" customWidth="1"/>
    <col min="22" max="22" width="6" hidden="1" customWidth="1"/>
    <col min="23" max="23" width="4.5703125" hidden="1" customWidth="1"/>
    <col min="24" max="24" width="2" hidden="1" customWidth="1"/>
    <col min="25" max="25" width="11.5703125" hidden="1" customWidth="1"/>
    <col min="26" max="26" width="6.140625" hidden="1" customWidth="1"/>
    <col min="27" max="27" width="11.5703125" hidden="1" customWidth="1"/>
    <col min="28" max="28" width="4.5703125" hidden="1" customWidth="1"/>
    <col min="29" max="29" width="11.5703125" hidden="1" customWidth="1"/>
    <col min="30" max="30" width="6.140625" hidden="1" customWidth="1"/>
    <col min="31" max="31" width="11.28515625" style="124" hidden="1" customWidth="1"/>
    <col min="32" max="32" width="6.85546875" style="124" hidden="1" customWidth="1"/>
    <col min="33" max="33" width="9.28515625" customWidth="1"/>
    <col min="34" max="34" width="4.7109375" customWidth="1"/>
    <col min="35" max="35" width="11.5703125" customWidth="1"/>
    <col min="36" max="36" width="6.140625" customWidth="1"/>
    <col min="37" max="37" width="11.5703125" customWidth="1"/>
    <col min="38" max="38" width="6.140625" customWidth="1"/>
    <col min="39" max="39" width="14.42578125" bestFit="1" customWidth="1"/>
    <col min="40" max="40" width="6" customWidth="1"/>
    <col min="41" max="41" width="12.42578125" customWidth="1"/>
    <col min="42" max="42" width="6" customWidth="1"/>
    <col min="43" max="43" width="9.7109375" bestFit="1" customWidth="1"/>
    <col min="44" max="45" width="6" customWidth="1"/>
    <col min="46" max="46" width="8.42578125" bestFit="1" customWidth="1"/>
    <col min="47" max="47" width="12.5703125" customWidth="1"/>
    <col min="48" max="48" width="6" customWidth="1"/>
    <col min="49" max="49" width="12.5703125" customWidth="1"/>
    <col min="50" max="50" width="6" customWidth="1"/>
    <col min="51" max="51" width="9.7109375" bestFit="1" customWidth="1"/>
    <col min="52" max="53" width="6" customWidth="1"/>
    <col min="54" max="54" width="2" customWidth="1"/>
    <col min="55" max="55" width="11.5703125" hidden="1" customWidth="1"/>
    <col min="56" max="56" width="6.28515625" hidden="1" customWidth="1"/>
    <col min="57" max="57" width="4.5703125" hidden="1" customWidth="1"/>
    <col min="58" max="58" width="1.85546875" hidden="1" customWidth="1"/>
    <col min="59" max="59" width="12" bestFit="1" customWidth="1"/>
    <col min="60" max="60" width="6.28515625" customWidth="1"/>
    <col min="61" max="61" width="4.5703125" customWidth="1"/>
  </cols>
  <sheetData>
    <row r="1" spans="1:64">
      <c r="A1" t="e">
        <f>'Dépenses BP 2017'!#REF!</f>
        <v>#REF!</v>
      </c>
      <c r="K1" s="123"/>
      <c r="O1" s="602">
        <f>'Ss-bgt MDE - Synthèse'!D24</f>
        <v>1111.4143158019942</v>
      </c>
      <c r="Q1" s="205">
        <f>O128-15000</f>
        <v>14911.414315801994</v>
      </c>
      <c r="AA1" s="205"/>
      <c r="AE1" s="213">
        <f>1623.59-AE52</f>
        <v>1623.59</v>
      </c>
      <c r="AG1" s="212">
        <f>AG130-AG128</f>
        <v>992.77112429697445</v>
      </c>
      <c r="AH1" s="123"/>
      <c r="AI1" s="123"/>
      <c r="AJ1" s="123"/>
      <c r="AK1" s="123"/>
      <c r="AL1" s="123"/>
      <c r="AM1" s="487">
        <f>6000-AM128</f>
        <v>8.6292097600899069</v>
      </c>
      <c r="AO1" t="s">
        <v>257</v>
      </c>
      <c r="AP1" s="205">
        <f>'Dépenses BP 2017'!P19+'Dépenses BP 2017'!S19</f>
        <v>0.65379940000000003</v>
      </c>
      <c r="AQ1" s="205">
        <v>0.18899999999999995</v>
      </c>
      <c r="AR1" s="205">
        <v>0.41099999999999992</v>
      </c>
      <c r="AU1" s="282">
        <f>AU128</f>
        <v>39791.867518325591</v>
      </c>
      <c r="AW1" s="279">
        <f>'Ss-bgt MDE - Synthèse'!Q80</f>
        <v>1.3768890001435921</v>
      </c>
    </row>
    <row r="2" spans="1:64">
      <c r="B2" s="123">
        <f>B130</f>
        <v>0</v>
      </c>
      <c r="AH2" s="191"/>
      <c r="AI2" s="191"/>
      <c r="AJ2" s="191"/>
      <c r="AK2" s="191"/>
      <c r="AL2" s="191"/>
      <c r="AM2" s="191"/>
    </row>
    <row r="3" spans="1:64" ht="25.5" customHeight="1">
      <c r="A3" s="1968" t="e">
        <f>'Dépenses BP 2017'!#REF!</f>
        <v>#REF!</v>
      </c>
      <c r="B3" s="1979" t="str">
        <f>'Dépenses BP 2017'!B5</f>
        <v>Appel à projet GPEC-T</v>
      </c>
      <c r="C3" s="1979"/>
      <c r="D3" s="1979"/>
      <c r="E3" s="1979"/>
      <c r="F3" s="1979"/>
      <c r="G3" s="1979"/>
      <c r="H3" s="1979"/>
      <c r="I3" s="451"/>
      <c r="J3" s="451"/>
      <c r="K3" s="451"/>
      <c r="L3" s="451"/>
      <c r="M3" s="452"/>
      <c r="N3" s="51"/>
      <c r="O3" s="1984" t="str">
        <f>'Dépenses BP 2017'!K5</f>
        <v>Anticipation des mutations économiques</v>
      </c>
      <c r="P3" s="1985"/>
      <c r="Q3" s="1985"/>
      <c r="R3" s="1985"/>
      <c r="S3" s="1985"/>
      <c r="T3" s="1985"/>
      <c r="U3" s="1985"/>
      <c r="V3" s="1985"/>
      <c r="W3" s="1985"/>
      <c r="X3" s="51"/>
      <c r="Y3" s="1507" t="str">
        <f>'Dépenses BP 2017'!N5</f>
        <v>Développement de l'emploi local</v>
      </c>
      <c r="Z3" s="1508"/>
      <c r="AA3" s="1508"/>
      <c r="AB3" s="1508"/>
      <c r="AC3" s="1990" t="str">
        <f>'Dépenses BP 2017'!N5</f>
        <v>Développement de l'emploi local</v>
      </c>
      <c r="AD3" s="1990"/>
      <c r="AE3" s="1990"/>
      <c r="AF3" s="1990"/>
      <c r="AG3" s="1990"/>
      <c r="AH3" s="1990"/>
      <c r="AI3" s="1990"/>
      <c r="AJ3" s="1990"/>
      <c r="AK3" s="1990"/>
      <c r="AL3" s="1990"/>
      <c r="AM3" s="1990"/>
      <c r="AN3" s="1990"/>
      <c r="AO3" s="1990"/>
      <c r="AP3" s="1990"/>
      <c r="AQ3" s="1990"/>
      <c r="AR3" s="1990"/>
      <c r="AS3" s="1990"/>
      <c r="AT3" s="51"/>
      <c r="AU3" s="1990" t="str">
        <f>'Dépenses BP 2017'!Q5</f>
        <v>XX</v>
      </c>
      <c r="AV3" s="1990"/>
      <c r="AW3" s="1990"/>
      <c r="AX3" s="1990"/>
      <c r="AY3" s="1990"/>
      <c r="AZ3" s="1990"/>
      <c r="BA3" s="1990"/>
      <c r="BB3" s="52"/>
      <c r="BC3" s="1971" t="str">
        <f>'Dépenses BP 2017'!Q5</f>
        <v>XX</v>
      </c>
      <c r="BD3" s="1971"/>
      <c r="BE3" s="1971"/>
      <c r="BF3" s="51"/>
      <c r="BG3" s="1982" t="str">
        <f>'Dépenses BP 2017'!T5</f>
        <v>S/Total MdE 
Conv° Etat 70%-30%</v>
      </c>
      <c r="BH3" s="1982"/>
      <c r="BI3" s="1982"/>
    </row>
    <row r="4" spans="1:64" ht="13.5" thickBot="1">
      <c r="A4" s="1968"/>
      <c r="B4" s="1979"/>
      <c r="C4" s="1979"/>
      <c r="D4" s="1979"/>
      <c r="E4" s="1979"/>
      <c r="F4" s="1979"/>
      <c r="G4" s="1979"/>
      <c r="H4" s="1979"/>
      <c r="I4" s="453"/>
      <c r="J4" s="453"/>
      <c r="K4" s="453"/>
      <c r="L4" s="453"/>
      <c r="M4" s="454"/>
      <c r="N4" s="51"/>
      <c r="O4" s="1985"/>
      <c r="P4" s="1985"/>
      <c r="Q4" s="1985"/>
      <c r="R4" s="1985"/>
      <c r="S4" s="1985"/>
      <c r="T4" s="1985"/>
      <c r="U4" s="1985"/>
      <c r="V4" s="1985"/>
      <c r="W4" s="1985"/>
      <c r="X4" s="51"/>
      <c r="Y4" s="1509"/>
      <c r="Z4" s="1510"/>
      <c r="AA4" s="1510"/>
      <c r="AB4" s="1510"/>
      <c r="AC4" s="1990"/>
      <c r="AD4" s="1990"/>
      <c r="AE4" s="1990"/>
      <c r="AF4" s="1990"/>
      <c r="AG4" s="1990"/>
      <c r="AH4" s="1990"/>
      <c r="AI4" s="1990"/>
      <c r="AJ4" s="1990"/>
      <c r="AK4" s="1990"/>
      <c r="AL4" s="1990"/>
      <c r="AM4" s="1990"/>
      <c r="AN4" s="1990"/>
      <c r="AO4" s="1990"/>
      <c r="AP4" s="1990"/>
      <c r="AQ4" s="1990"/>
      <c r="AR4" s="1990"/>
      <c r="AS4" s="1990"/>
      <c r="AT4" s="51"/>
      <c r="AU4" s="1990"/>
      <c r="AV4" s="1990"/>
      <c r="AW4" s="1990"/>
      <c r="AX4" s="1990"/>
      <c r="AY4" s="1990"/>
      <c r="AZ4" s="1990"/>
      <c r="BA4" s="1990"/>
      <c r="BB4" s="52"/>
      <c r="BC4" s="1971"/>
      <c r="BD4" s="1971"/>
      <c r="BE4" s="1971"/>
      <c r="BF4" s="51"/>
      <c r="BG4" s="1982"/>
      <c r="BH4" s="1982"/>
      <c r="BI4" s="1982"/>
    </row>
    <row r="5" spans="1:64" ht="42" customHeight="1">
      <c r="A5" s="1968"/>
      <c r="B5" s="1976" t="s">
        <v>258</v>
      </c>
      <c r="C5" s="1976"/>
      <c r="D5" s="1976" t="s">
        <v>259</v>
      </c>
      <c r="E5" s="1976"/>
      <c r="F5" s="1976" t="s">
        <v>260</v>
      </c>
      <c r="G5" s="1976"/>
      <c r="H5" s="1976"/>
      <c r="I5" s="1975" t="s">
        <v>261</v>
      </c>
      <c r="J5" s="1976"/>
      <c r="K5" s="1976" t="s">
        <v>262</v>
      </c>
      <c r="L5" s="1976"/>
      <c r="M5" s="1976"/>
      <c r="N5" s="56"/>
      <c r="O5" s="1977" t="s">
        <v>263</v>
      </c>
      <c r="P5" s="1978"/>
      <c r="Q5" s="1986" t="s">
        <v>264</v>
      </c>
      <c r="R5" s="1978"/>
      <c r="S5" s="1986" t="s">
        <v>265</v>
      </c>
      <c r="T5" s="1978"/>
      <c r="U5" s="1980" t="s">
        <v>266</v>
      </c>
      <c r="V5" s="1981"/>
      <c r="W5" s="1981"/>
      <c r="X5" s="56"/>
      <c r="Y5" s="1969" t="s">
        <v>267</v>
      </c>
      <c r="Z5" s="1969"/>
      <c r="AA5" s="1969" t="s">
        <v>268</v>
      </c>
      <c r="AB5" s="1969"/>
      <c r="AC5" s="1969" t="s">
        <v>269</v>
      </c>
      <c r="AD5" s="1969"/>
      <c r="AE5" s="1988" t="s">
        <v>270</v>
      </c>
      <c r="AF5" s="1989"/>
      <c r="AG5" s="1987" t="s">
        <v>271</v>
      </c>
      <c r="AH5" s="1974"/>
      <c r="AI5" s="1969" t="s">
        <v>272</v>
      </c>
      <c r="AJ5" s="1969"/>
      <c r="AK5" s="1969" t="s">
        <v>139</v>
      </c>
      <c r="AL5" s="1969"/>
      <c r="AM5" s="1969" t="s">
        <v>159</v>
      </c>
      <c r="AN5" s="1969"/>
      <c r="AO5" s="1972" t="s">
        <v>273</v>
      </c>
      <c r="AP5" s="1974"/>
      <c r="AQ5" s="1972" t="s">
        <v>274</v>
      </c>
      <c r="AR5" s="1973"/>
      <c r="AS5" s="1974"/>
      <c r="AT5" s="56"/>
      <c r="AU5" s="1972" t="s">
        <v>275</v>
      </c>
      <c r="AV5" s="1974"/>
      <c r="AW5" s="1972" t="s">
        <v>276</v>
      </c>
      <c r="AX5" s="1974"/>
      <c r="AY5" s="1972" t="s">
        <v>274</v>
      </c>
      <c r="AZ5" s="1973"/>
      <c r="BA5" s="1974"/>
      <c r="BB5" s="56"/>
      <c r="BC5" s="1970" t="s">
        <v>277</v>
      </c>
      <c r="BD5" s="1970"/>
      <c r="BE5" s="1970"/>
      <c r="BF5" s="52"/>
      <c r="BG5" s="1982"/>
      <c r="BH5" s="1982"/>
      <c r="BI5" s="1983"/>
      <c r="BJ5" s="204" t="s">
        <v>278</v>
      </c>
      <c r="BK5" s="339" t="s">
        <v>279</v>
      </c>
    </row>
    <row r="6" spans="1:64" ht="13.5" thickBot="1">
      <c r="A6" s="221" t="s">
        <v>280</v>
      </c>
      <c r="B6" s="73">
        <f>SUM(B7:B57)</f>
        <v>12120.085951614756</v>
      </c>
      <c r="C6" s="62">
        <f>SUM(C7:C55)</f>
        <v>0.253</v>
      </c>
      <c r="D6" s="62">
        <f>SUM(D7:D57)</f>
        <v>0</v>
      </c>
      <c r="E6" s="62">
        <f>SUM(E7:E55)</f>
        <v>0</v>
      </c>
      <c r="F6" s="62">
        <f>'Dépenses BP 2017'!B6</f>
        <v>12120.085951614756</v>
      </c>
      <c r="G6" s="62" t="str">
        <f>'Dépenses BP 2017'!C6</f>
        <v>Clé de 
rép.</v>
      </c>
      <c r="H6" s="62">
        <f>'Dépenses BP 2017'!D6</f>
        <v>0.253</v>
      </c>
      <c r="I6" s="62">
        <f>'Dépenses BP 2017'!E6</f>
        <v>0</v>
      </c>
      <c r="J6" s="62">
        <f>'Dépenses BP 2017'!F6</f>
        <v>0</v>
      </c>
      <c r="K6" s="62">
        <f>'Dépenses BP 2017'!G6</f>
        <v>12120.085951614756</v>
      </c>
      <c r="L6" s="62" t="str">
        <f>'Dépenses BP 2017'!H6</f>
        <v>Clé de rép.</v>
      </c>
      <c r="M6" s="62">
        <f>'Dépenses BP 2017'!I6</f>
        <v>0.253</v>
      </c>
      <c r="N6" s="57"/>
      <c r="O6" s="73">
        <f>SUM(O7:O57)</f>
        <v>23365.275022508904</v>
      </c>
      <c r="P6" s="73">
        <f>SUM(P7:P57)</f>
        <v>0.50452704146160898</v>
      </c>
      <c r="Q6" s="73">
        <f>SUM(Q7:Q57)</f>
        <v>6089.2817191848744</v>
      </c>
      <c r="R6" s="73">
        <f>SUM(R7:R57)</f>
        <v>7.9820990333333008E-2</v>
      </c>
      <c r="S6" s="73">
        <f>SUM(S7:S57)</f>
        <v>2199.5789300722963</v>
      </c>
      <c r="T6" s="73">
        <f>SUM(T7:T55)</f>
        <v>4.8031997999999999E-2</v>
      </c>
      <c r="U6" s="62">
        <f>'Dépenses BP 2017'!K6</f>
        <v>31654.135671766086</v>
      </c>
      <c r="V6" s="62" t="str">
        <f>'Dépenses BP 2017'!L6</f>
        <v>Clé de
 rép.</v>
      </c>
      <c r="W6" s="62">
        <f>'Dépenses BP 2017'!M6</f>
        <v>0.63238002979494201</v>
      </c>
      <c r="X6" s="211"/>
      <c r="Y6" s="73">
        <f>SUM(Y7:Y55)</f>
        <v>0</v>
      </c>
      <c r="Z6" s="73">
        <f>SUM(Z7:Z55)</f>
        <v>0</v>
      </c>
      <c r="AA6" s="73">
        <f>SUM(AA7:AA55)</f>
        <v>0</v>
      </c>
      <c r="AB6" s="73">
        <f>SUM(AB7:AB55)</f>
        <v>0</v>
      </c>
      <c r="AC6" s="73">
        <f>SUM(AC7:AC57)</f>
        <v>31592.687203586669</v>
      </c>
      <c r="AD6" s="73">
        <f t="shared" ref="AD6:AP6" si="0">SUM(AD7:AD57)</f>
        <v>0.64894845616160901</v>
      </c>
      <c r="AE6" s="125">
        <f t="shared" si="0"/>
        <v>0</v>
      </c>
      <c r="AF6" s="125">
        <f t="shared" si="0"/>
        <v>0</v>
      </c>
      <c r="AG6" s="73">
        <f t="shared" si="0"/>
        <v>26296.150587251872</v>
      </c>
      <c r="AH6" s="73">
        <f t="shared" si="0"/>
        <v>0.77</v>
      </c>
      <c r="AI6" s="73">
        <f t="shared" si="0"/>
        <v>3271.8001355333577</v>
      </c>
      <c r="AJ6" s="73">
        <f t="shared" si="0"/>
        <v>6.9999999999999993E-2</v>
      </c>
      <c r="AK6" s="73">
        <f t="shared" si="0"/>
        <v>25.378961265787733</v>
      </c>
      <c r="AL6" s="73">
        <f t="shared" si="0"/>
        <v>5.8675000000000394E-4</v>
      </c>
      <c r="AM6" s="73">
        <f t="shared" si="0"/>
        <v>4680.1082231508626</v>
      </c>
      <c r="AN6" s="73">
        <f t="shared" si="0"/>
        <v>0.10601058330000002</v>
      </c>
      <c r="AO6" s="73">
        <f t="shared" si="0"/>
        <v>10003.298291560826</v>
      </c>
      <c r="AP6" s="73">
        <f t="shared" si="0"/>
        <v>0.17500000000000002</v>
      </c>
      <c r="AQ6" s="73">
        <f>'Dépenses BP 2017'!N6</f>
        <v>75869.423402349377</v>
      </c>
      <c r="AR6" s="73" t="str">
        <f>'Dépenses BP 2017'!O6</f>
        <v>Clé de
 rép.</v>
      </c>
      <c r="AS6" s="131">
        <f>'Dépenses BP 2017'!P6</f>
        <v>1.7705457894616092</v>
      </c>
      <c r="AT6" s="211"/>
      <c r="AU6" s="73">
        <f>SUM(AU7:AU57)</f>
        <v>30349.916866334839</v>
      </c>
      <c r="AV6" s="73">
        <f>SUM(AV7:AV55)</f>
        <v>0.64163690052167999</v>
      </c>
      <c r="AW6" s="73">
        <f>SUM(AW7:AW57)</f>
        <v>575.29554137820435</v>
      </c>
      <c r="AX6" s="73">
        <f>SUM(AX7:AX57)</f>
        <v>1.216249947832E-2</v>
      </c>
      <c r="AY6" s="73">
        <f>'Dépenses BP 2017'!Q6</f>
        <v>30925.212407713047</v>
      </c>
      <c r="AZ6" s="73" t="str">
        <f>'Dépenses BP 2017'!R6</f>
        <v>Clé de rép.</v>
      </c>
      <c r="BA6" s="131">
        <f>'Dépenses BP 2017'!S6</f>
        <v>0.65379940000000003</v>
      </c>
      <c r="BB6" s="53"/>
      <c r="BC6" s="73">
        <f>'Dépenses BP 2017'!Q6</f>
        <v>30925.212407713047</v>
      </c>
      <c r="BD6" s="73" t="str">
        <f>'Dépenses BP 2017'!R6</f>
        <v>Clé de rép.</v>
      </c>
      <c r="BE6" s="73">
        <f>'Dépenses BP 2017'!S6</f>
        <v>0.65379940000000003</v>
      </c>
      <c r="BF6" s="53"/>
      <c r="BG6" s="73">
        <f>'Dépenses BP 2017'!T6</f>
        <v>150568.85743344325</v>
      </c>
      <c r="BH6" s="73" t="str">
        <f>'Dépenses BP 2017'!U6</f>
        <v>Clé de 
rép.</v>
      </c>
      <c r="BI6" s="202">
        <f>'Dépenses BP 2017'!V6</f>
        <v>3.3097252192565514</v>
      </c>
      <c r="BJ6" s="203">
        <f>'Dépenses BP 2017'!$BL$6</f>
        <v>15.74038</v>
      </c>
      <c r="BK6" s="203">
        <f>'Dépenses BP 2017'!BI6</f>
        <v>0.57788699946160904</v>
      </c>
    </row>
    <row r="7" spans="1:64">
      <c r="A7" s="1584" t="str">
        <f>'Dépenses BP 2017'!A7</f>
        <v>XX</v>
      </c>
      <c r="B7" s="220"/>
      <c r="C7" s="61"/>
      <c r="D7" s="61"/>
      <c r="E7" s="61"/>
      <c r="F7" s="220">
        <f>'Dépenses BP 2017'!B7</f>
        <v>0</v>
      </c>
      <c r="G7" s="220"/>
      <c r="H7" s="61">
        <f>'Dépenses BP 2017'!D7</f>
        <v>0</v>
      </c>
      <c r="I7" s="61">
        <f>'Dépenses BP 2017'!E7</f>
        <v>0</v>
      </c>
      <c r="J7" s="61">
        <f>'Dépenses BP 2017'!F7</f>
        <v>0</v>
      </c>
      <c r="K7" s="61">
        <f>'Dépenses BP 2017'!G7</f>
        <v>0</v>
      </c>
      <c r="L7" s="61"/>
      <c r="M7" s="61">
        <f>'Dépenses BP 2017'!I7</f>
        <v>0</v>
      </c>
      <c r="N7" s="58"/>
      <c r="O7" s="69">
        <f>(P7*U7)/W7</f>
        <v>665.45960000000002</v>
      </c>
      <c r="P7" s="69">
        <f>W7-R7-T7</f>
        <v>2.5000000000000005E-3</v>
      </c>
      <c r="Q7" s="69">
        <f>(R7*U7)/W7</f>
        <v>2661.8383999999996</v>
      </c>
      <c r="R7" s="69">
        <v>0.01</v>
      </c>
      <c r="S7" s="69">
        <f>(T7*U7)/W7</f>
        <v>0</v>
      </c>
      <c r="T7" s="69">
        <v>0</v>
      </c>
      <c r="U7" s="69">
        <f>'Dépenses BP 2017'!K7</f>
        <v>3327.2979999999998</v>
      </c>
      <c r="V7" s="69"/>
      <c r="W7" s="69">
        <f>'Dépenses BP 2017'!M7</f>
        <v>1.2500000000000001E-2</v>
      </c>
      <c r="X7" s="211"/>
      <c r="Y7" s="74">
        <f>(Z7*AQ7)/AS7</f>
        <v>0</v>
      </c>
      <c r="Z7" s="119"/>
      <c r="AA7" s="74">
        <f>(AQ7*AB7)/AS7</f>
        <v>0</v>
      </c>
      <c r="AB7" s="74"/>
      <c r="AC7" s="74">
        <f>(AQ7*AD7)/AS7</f>
        <v>665.45960000000002</v>
      </c>
      <c r="AD7" s="74">
        <f>AS7-AH7-AJ7-AL7-AN7-AP7</f>
        <v>2.5000000000000005E-3</v>
      </c>
      <c r="AE7" s="126"/>
      <c r="AF7" s="126"/>
      <c r="AG7" s="74"/>
      <c r="AH7" s="74"/>
      <c r="AI7" s="74"/>
      <c r="AJ7" s="74"/>
      <c r="AK7" s="74"/>
      <c r="AL7" s="74"/>
      <c r="AM7" s="74"/>
      <c r="AN7" s="119"/>
      <c r="AO7" s="119">
        <f>(AQ7*AP7)/AS7</f>
        <v>2661.8383999999996</v>
      </c>
      <c r="AP7" s="119">
        <v>0.01</v>
      </c>
      <c r="AQ7" s="74">
        <f>'Dépenses BP 2017'!N7</f>
        <v>3327.2979999999998</v>
      </c>
      <c r="AR7" s="74"/>
      <c r="AS7" s="133">
        <f>'Dépenses BP 2017'!P7</f>
        <v>1.2500000000000001E-2</v>
      </c>
      <c r="AT7" s="211">
        <f>AS7-(AD7+AH7+AJ7+AL7+AN7+AP7)</f>
        <v>0</v>
      </c>
      <c r="AU7" s="119"/>
      <c r="AV7" s="119"/>
      <c r="AW7" s="119"/>
      <c r="AX7" s="119"/>
      <c r="AY7" s="74">
        <f>'Dépenses BP 2017'!Q7</f>
        <v>0</v>
      </c>
      <c r="AZ7" s="74"/>
      <c r="BA7" s="133">
        <f>'Dépenses BP 2017'!S7</f>
        <v>0</v>
      </c>
      <c r="BB7" s="211"/>
      <c r="BC7" s="78">
        <f>'Dépenses BP 2017'!Q7</f>
        <v>0</v>
      </c>
      <c r="BD7" s="78"/>
      <c r="BE7" s="78">
        <f>'Dépenses BP 2017'!S7</f>
        <v>0</v>
      </c>
      <c r="BF7" s="54"/>
      <c r="BG7" s="82">
        <f>'Dépenses BP 2017'!T7</f>
        <v>6654.5959999999995</v>
      </c>
      <c r="BH7" s="82"/>
      <c r="BI7" s="82">
        <f>'Dépenses BP 2017'!V7</f>
        <v>0</v>
      </c>
      <c r="BJ7" s="212">
        <f>BI7-AX7-AV7-AP7-AN7-AL7-AJ7-AH7-AD7-T7-R7-P7-E7-C7</f>
        <v>-2.5000000000000001E-2</v>
      </c>
      <c r="BK7" s="205">
        <f>C7+E7+P7+R7+T7+AD7+AH7+AL7+AN7+AP7+AV7+AX7</f>
        <v>2.5000000000000001E-2</v>
      </c>
      <c r="BL7" s="205">
        <f>BI7-BK7</f>
        <v>-2.5000000000000001E-2</v>
      </c>
    </row>
    <row r="8" spans="1:64">
      <c r="A8" s="1584"/>
      <c r="B8" s="220"/>
      <c r="C8" s="61"/>
      <c r="D8" s="61"/>
      <c r="E8" s="61"/>
      <c r="F8" s="220">
        <f>'Dépenses BP 2017'!B8</f>
        <v>0</v>
      </c>
      <c r="G8" s="220"/>
      <c r="H8" s="61"/>
      <c r="I8" s="61"/>
      <c r="J8" s="61"/>
      <c r="K8" s="61">
        <f>'Dépenses BP 2017'!G8</f>
        <v>0</v>
      </c>
      <c r="L8" s="61"/>
      <c r="M8" s="61"/>
      <c r="N8" s="58"/>
      <c r="O8" s="69">
        <f>(U8*P7)/$W$7</f>
        <v>6.1365000000000007</v>
      </c>
      <c r="P8" s="69"/>
      <c r="Q8" s="69">
        <f>(U8*R7)/$W$7</f>
        <v>24.545999999999999</v>
      </c>
      <c r="R8" s="69"/>
      <c r="S8" s="69">
        <f>(U8*T7)/W7</f>
        <v>0</v>
      </c>
      <c r="T8" s="69"/>
      <c r="U8" s="69">
        <f>'Dépenses BP 2017'!K8</f>
        <v>30.682500000000001</v>
      </c>
      <c r="V8" s="69"/>
      <c r="W8" s="69"/>
      <c r="X8" s="211"/>
      <c r="Y8" s="74"/>
      <c r="Z8" s="119"/>
      <c r="AA8" s="74"/>
      <c r="AB8" s="74"/>
      <c r="AC8" s="74">
        <f>(AQ8*AD7)/AS7</f>
        <v>6.1365000000000007</v>
      </c>
      <c r="AD8" s="74"/>
      <c r="AE8" s="126"/>
      <c r="AF8" s="126"/>
      <c r="AG8" s="74"/>
      <c r="AH8" s="74"/>
      <c r="AI8" s="74"/>
      <c r="AJ8" s="74"/>
      <c r="AK8" s="74"/>
      <c r="AL8" s="74"/>
      <c r="AM8" s="74"/>
      <c r="AN8" s="119"/>
      <c r="AO8" s="119">
        <f>(AQ8*AP7)/$AS$7</f>
        <v>24.545999999999999</v>
      </c>
      <c r="AP8" s="119"/>
      <c r="AQ8" s="74">
        <f>'Dépenses BP 2017'!N8</f>
        <v>30.682500000000001</v>
      </c>
      <c r="AR8" s="74"/>
      <c r="AS8" s="133"/>
      <c r="AT8" s="211">
        <f t="shared" ref="AT8:AT57" si="1">AS8-(AD8+AH8+AJ8+AL8+AN8+AP8)</f>
        <v>0</v>
      </c>
      <c r="AU8" s="119"/>
      <c r="AV8" s="119"/>
      <c r="AW8" s="119"/>
      <c r="AX8" s="119"/>
      <c r="AY8" s="74">
        <f>'Dépenses BP 2017'!Q8</f>
        <v>0</v>
      </c>
      <c r="AZ8" s="74"/>
      <c r="BA8" s="133"/>
      <c r="BB8" s="211"/>
      <c r="BC8" s="78"/>
      <c r="BD8" s="78"/>
      <c r="BE8" s="78"/>
      <c r="BF8" s="54"/>
      <c r="BG8" s="82">
        <f>'Dépenses BP 2017'!T8</f>
        <v>61.365000000000002</v>
      </c>
      <c r="BH8" s="82"/>
      <c r="BI8" s="82"/>
      <c r="BJ8" s="212">
        <f t="shared" ref="BJ8:BJ57" si="2">BI8-AX8-AV8-AP8-AN8-AL8-AJ8-AH8-AD8-T8-R8-P8-E8-C8</f>
        <v>0</v>
      </c>
      <c r="BK8" s="205"/>
      <c r="BL8" s="205"/>
    </row>
    <row r="9" spans="1:64">
      <c r="A9" s="1584"/>
      <c r="B9" s="220"/>
      <c r="C9" s="61"/>
      <c r="D9" s="61"/>
      <c r="E9" s="61"/>
      <c r="F9" s="220">
        <f>'Dépenses BP 2017'!B9</f>
        <v>0</v>
      </c>
      <c r="G9" s="220"/>
      <c r="H9" s="61"/>
      <c r="I9" s="61"/>
      <c r="J9" s="61"/>
      <c r="K9" s="61">
        <f>'Dépenses BP 2017'!G9</f>
        <v>0</v>
      </c>
      <c r="L9" s="61"/>
      <c r="M9" s="61"/>
      <c r="N9" s="58"/>
      <c r="O9" s="69">
        <f>(U9*P7)/$W$7</f>
        <v>1.6467250000000004</v>
      </c>
      <c r="P9" s="69"/>
      <c r="Q9" s="69">
        <f>(U9*R7)/$W$7</f>
        <v>6.5869000000000009</v>
      </c>
      <c r="R9" s="69"/>
      <c r="S9" s="69">
        <f>(U9*T7)/W7</f>
        <v>0</v>
      </c>
      <c r="T9" s="69"/>
      <c r="U9" s="69">
        <f>'Dépenses BP 2017'!K9</f>
        <v>8.2336250000000017</v>
      </c>
      <c r="V9" s="69"/>
      <c r="W9" s="69"/>
      <c r="X9" s="211"/>
      <c r="Y9" s="74"/>
      <c r="Z9" s="119"/>
      <c r="AA9" s="74"/>
      <c r="AB9" s="74"/>
      <c r="AC9" s="74">
        <f>(AQ9*AD7)/AS7</f>
        <v>1.6467250000000004</v>
      </c>
      <c r="AD9" s="74"/>
      <c r="AE9" s="126"/>
      <c r="AF9" s="126"/>
      <c r="AG9" s="74"/>
      <c r="AH9" s="74"/>
      <c r="AI9" s="74"/>
      <c r="AJ9" s="74"/>
      <c r="AK9" s="74"/>
      <c r="AL9" s="74"/>
      <c r="AM9" s="74"/>
      <c r="AN9" s="119"/>
      <c r="AO9" s="119">
        <f>(AQ9*AP7)/$AS$7</f>
        <v>6.5869000000000009</v>
      </c>
      <c r="AP9" s="119"/>
      <c r="AQ9" s="74">
        <f>'Dépenses BP 2017'!N9</f>
        <v>8.2336250000000017</v>
      </c>
      <c r="AR9" s="74"/>
      <c r="AS9" s="133"/>
      <c r="AT9" s="211">
        <f t="shared" si="1"/>
        <v>0</v>
      </c>
      <c r="AU9" s="119"/>
      <c r="AV9" s="119"/>
      <c r="AW9" s="119"/>
      <c r="AX9" s="119"/>
      <c r="AY9" s="74">
        <f>'Dépenses BP 2017'!Q9</f>
        <v>0</v>
      </c>
      <c r="AZ9" s="74"/>
      <c r="BA9" s="133"/>
      <c r="BB9" s="211"/>
      <c r="BC9" s="78"/>
      <c r="BD9" s="78"/>
      <c r="BE9" s="78"/>
      <c r="BF9" s="54"/>
      <c r="BG9" s="82">
        <f>'Dépenses BP 2017'!T9</f>
        <v>16.467250000000003</v>
      </c>
      <c r="BH9" s="82"/>
      <c r="BI9" s="82"/>
      <c r="BJ9" s="212">
        <f t="shared" si="2"/>
        <v>0</v>
      </c>
      <c r="BK9" s="205"/>
      <c r="BL9" s="205"/>
    </row>
    <row r="10" spans="1:64">
      <c r="A10" s="1584" t="str">
        <f>'Dépenses BP 2017'!A10</f>
        <v>XX</v>
      </c>
      <c r="B10" s="220"/>
      <c r="C10" s="61"/>
      <c r="D10" s="61"/>
      <c r="E10" s="61"/>
      <c r="F10" s="220">
        <f>'Dépenses BP 2017'!B10</f>
        <v>0</v>
      </c>
      <c r="G10" s="220"/>
      <c r="H10" s="61">
        <f>'Dépenses BP 2017'!D10</f>
        <v>0</v>
      </c>
      <c r="I10" s="61">
        <f>'Dépenses BP 2017'!E10</f>
        <v>0</v>
      </c>
      <c r="J10" s="61">
        <f>'Dépenses BP 2017'!F10</f>
        <v>0</v>
      </c>
      <c r="K10" s="61">
        <f>'Dépenses BP 2017'!G10</f>
        <v>0</v>
      </c>
      <c r="L10" s="61"/>
      <c r="M10" s="61">
        <f>'Dépenses BP 2017'!I10</f>
        <v>0</v>
      </c>
      <c r="N10" s="58"/>
      <c r="O10" s="69">
        <f>(P10*U10)/W10</f>
        <v>-203.31131172716323</v>
      </c>
      <c r="P10" s="69">
        <f>W10-R10-T10</f>
        <v>-1.9409605383909449E-3</v>
      </c>
      <c r="Q10" s="69">
        <f>(R10*U10)/W10</f>
        <v>523.73891098195179</v>
      </c>
      <c r="R10" s="69">
        <v>5.0000000000000001E-3</v>
      </c>
      <c r="S10" s="69">
        <f>(T10*U10)/W10</f>
        <v>0</v>
      </c>
      <c r="T10" s="69">
        <v>0</v>
      </c>
      <c r="U10" s="69">
        <f>'Dépenses BP 2017'!K10</f>
        <v>320.4275992547885</v>
      </c>
      <c r="V10" s="69"/>
      <c r="W10" s="69">
        <f>'Dépenses BP 2017'!M10</f>
        <v>3.0590394616090552E-3</v>
      </c>
      <c r="X10" s="211"/>
      <c r="Y10" s="74">
        <f>(Z10*AQ10)/AS10</f>
        <v>0</v>
      </c>
      <c r="Z10" s="119"/>
      <c r="AA10" s="74"/>
      <c r="AB10" s="74"/>
      <c r="AC10" s="74">
        <f>(AQ10*AD10)/AS10</f>
        <v>-203.31131172716323</v>
      </c>
      <c r="AD10" s="74">
        <f>AS10-AH10-AJ10-AL10-AN10-AP10</f>
        <v>-1.9409605383909449E-3</v>
      </c>
      <c r="AE10" s="126"/>
      <c r="AF10" s="126"/>
      <c r="AG10" s="74"/>
      <c r="AH10" s="74"/>
      <c r="AI10" s="74"/>
      <c r="AJ10" s="74"/>
      <c r="AK10" s="74"/>
      <c r="AL10" s="74"/>
      <c r="AM10" s="74"/>
      <c r="AN10" s="119"/>
      <c r="AO10" s="119">
        <f>(AQ10*AP10)/AS10</f>
        <v>523.73891098195179</v>
      </c>
      <c r="AP10" s="119">
        <v>5.0000000000000001E-3</v>
      </c>
      <c r="AQ10" s="74">
        <f>'Dépenses BP 2017'!N10</f>
        <v>320.4275992547885</v>
      </c>
      <c r="AR10" s="74"/>
      <c r="AS10" s="133">
        <f>'Dépenses BP 2017'!P10</f>
        <v>3.0590394616090552E-3</v>
      </c>
      <c r="AT10" s="211">
        <f t="shared" si="1"/>
        <v>0</v>
      </c>
      <c r="AU10" s="119"/>
      <c r="AV10" s="119"/>
      <c r="AW10" s="119"/>
      <c r="AX10" s="119"/>
      <c r="AY10" s="74"/>
      <c r="AZ10" s="74"/>
      <c r="BA10" s="133"/>
      <c r="BB10" s="211"/>
      <c r="BC10" s="78">
        <f>'Dépenses BP 2017'!Q10</f>
        <v>0</v>
      </c>
      <c r="BD10" s="78"/>
      <c r="BE10" s="78">
        <f>'Dépenses BP 2017'!S10</f>
        <v>0</v>
      </c>
      <c r="BF10" s="54"/>
      <c r="BG10" s="82">
        <f>'Dépenses BP 2017'!T10</f>
        <v>640.85519850957701</v>
      </c>
      <c r="BH10" s="82"/>
      <c r="BI10" s="82">
        <f>'Dépenses BP 2017'!V10</f>
        <v>0</v>
      </c>
      <c r="BJ10" s="212">
        <f t="shared" si="2"/>
        <v>-6.1180789232181104E-3</v>
      </c>
      <c r="BK10" s="205">
        <f t="shared" ref="BK10:BK55" si="3">C10+E10+P10+R10+T10+AD10+AH10+AL10+AN10+AP10+AV10+AX10</f>
        <v>6.1180789232181104E-3</v>
      </c>
      <c r="BL10" s="205">
        <f>BI10-BK10</f>
        <v>-6.1180789232181104E-3</v>
      </c>
    </row>
    <row r="11" spans="1:64">
      <c r="A11" s="1584"/>
      <c r="B11" s="220"/>
      <c r="C11" s="61"/>
      <c r="D11" s="61"/>
      <c r="E11" s="61"/>
      <c r="F11" s="220">
        <f>'Dépenses BP 2017'!B11</f>
        <v>0</v>
      </c>
      <c r="G11" s="220"/>
      <c r="H11" s="61"/>
      <c r="I11" s="61"/>
      <c r="J11" s="61"/>
      <c r="K11" s="61">
        <f>'Dépenses BP 2017'!G11</f>
        <v>0</v>
      </c>
      <c r="L11" s="61"/>
      <c r="M11" s="61"/>
      <c r="N11" s="58"/>
      <c r="O11" s="69">
        <f>(U11*P10)/W10</f>
        <v>-0.84047473233404701</v>
      </c>
      <c r="P11" s="69"/>
      <c r="Q11" s="69">
        <f>(U11*R10)/W10</f>
        <v>2.1651000000000002</v>
      </c>
      <c r="R11" s="69"/>
      <c r="S11" s="69">
        <f>(U11*T10)/W10</f>
        <v>0</v>
      </c>
      <c r="T11" s="69"/>
      <c r="U11" s="69">
        <f>'Dépenses BP 2017'!K11</f>
        <v>1.3246252676659531</v>
      </c>
      <c r="V11" s="69"/>
      <c r="W11" s="69"/>
      <c r="X11" s="211"/>
      <c r="Y11" s="74"/>
      <c r="Z11" s="119"/>
      <c r="AA11" s="74"/>
      <c r="AB11" s="74"/>
      <c r="AC11" s="74">
        <f>(AQ11*AD10)/AS10</f>
        <v>-0.84047473233404701</v>
      </c>
      <c r="AD11" s="74"/>
      <c r="AE11" s="126"/>
      <c r="AF11" s="126"/>
      <c r="AG11" s="74"/>
      <c r="AH11" s="74"/>
      <c r="AI11" s="74"/>
      <c r="AJ11" s="74"/>
      <c r="AK11" s="74"/>
      <c r="AL11" s="74"/>
      <c r="AM11" s="74"/>
      <c r="AN11" s="119"/>
      <c r="AO11" s="119">
        <f>(AQ11*AP10)/$AS$10</f>
        <v>2.1651000000000002</v>
      </c>
      <c r="AP11" s="119"/>
      <c r="AQ11" s="74">
        <f>'Dépenses BP 2017'!N11</f>
        <v>1.3246252676659531</v>
      </c>
      <c r="AR11" s="74"/>
      <c r="AS11" s="133"/>
      <c r="AT11" s="211">
        <f t="shared" si="1"/>
        <v>0</v>
      </c>
      <c r="AU11" s="119"/>
      <c r="AV11" s="119"/>
      <c r="AW11" s="119"/>
      <c r="AX11" s="119"/>
      <c r="AY11" s="74"/>
      <c r="AZ11" s="74"/>
      <c r="BA11" s="133"/>
      <c r="BB11" s="211"/>
      <c r="BC11" s="78"/>
      <c r="BD11" s="78"/>
      <c r="BE11" s="78"/>
      <c r="BF11" s="54"/>
      <c r="BG11" s="82">
        <f>'Dépenses BP 2017'!T11</f>
        <v>2.6492505353319062</v>
      </c>
      <c r="BH11" s="82"/>
      <c r="BI11" s="82"/>
      <c r="BJ11" s="212">
        <f t="shared" si="2"/>
        <v>0</v>
      </c>
      <c r="BK11" s="205"/>
      <c r="BL11" s="205"/>
    </row>
    <row r="12" spans="1:64">
      <c r="A12" s="1584"/>
      <c r="B12" s="220"/>
      <c r="C12" s="61"/>
      <c r="D12" s="61"/>
      <c r="E12" s="61"/>
      <c r="F12" s="220">
        <f>'Dépenses BP 2017'!B12</f>
        <v>0</v>
      </c>
      <c r="G12" s="220"/>
      <c r="H12" s="61"/>
      <c r="I12" s="61"/>
      <c r="J12" s="61"/>
      <c r="K12" s="61">
        <f>'Dépenses BP 2017'!G12</f>
        <v>0</v>
      </c>
      <c r="L12" s="61"/>
      <c r="M12" s="61"/>
      <c r="N12" s="58"/>
      <c r="O12" s="69">
        <f>(U12*P10)/W10</f>
        <v>-0.43448401651881302</v>
      </c>
      <c r="P12" s="69"/>
      <c r="Q12" s="69">
        <f>(U12*R10)/W10</f>
        <v>1.1192500000000001</v>
      </c>
      <c r="R12" s="69"/>
      <c r="S12" s="69">
        <f>(U12*T10)/W10</f>
        <v>0</v>
      </c>
      <c r="T12" s="69"/>
      <c r="U12" s="69">
        <f>'Dépenses BP 2017'!K12</f>
        <v>0.684765983481187</v>
      </c>
      <c r="V12" s="69"/>
      <c r="W12" s="69"/>
      <c r="X12" s="211"/>
      <c r="Y12" s="74"/>
      <c r="Z12" s="119"/>
      <c r="AA12" s="74"/>
      <c r="AB12" s="74"/>
      <c r="AC12" s="74">
        <f>(AQ12*AD10)/AS10</f>
        <v>-0.43448401651881302</v>
      </c>
      <c r="AD12" s="74"/>
      <c r="AE12" s="126"/>
      <c r="AF12" s="126"/>
      <c r="AG12" s="74"/>
      <c r="AH12" s="74"/>
      <c r="AI12" s="74"/>
      <c r="AJ12" s="74"/>
      <c r="AK12" s="74"/>
      <c r="AL12" s="74"/>
      <c r="AM12" s="74"/>
      <c r="AN12" s="119"/>
      <c r="AO12" s="119">
        <f>(AQ12*AP10)/$AS$10</f>
        <v>1.1192500000000001</v>
      </c>
      <c r="AP12" s="119"/>
      <c r="AQ12" s="74">
        <f>'Dépenses BP 2017'!N12</f>
        <v>0.684765983481187</v>
      </c>
      <c r="AR12" s="74"/>
      <c r="AS12" s="133"/>
      <c r="AT12" s="211">
        <f t="shared" si="1"/>
        <v>0</v>
      </c>
      <c r="AU12" s="119"/>
      <c r="AV12" s="119"/>
      <c r="AW12" s="119"/>
      <c r="AX12" s="119"/>
      <c r="AY12" s="74"/>
      <c r="AZ12" s="74"/>
      <c r="BA12" s="133"/>
      <c r="BB12" s="211"/>
      <c r="BC12" s="78"/>
      <c r="BD12" s="78"/>
      <c r="BE12" s="78"/>
      <c r="BF12" s="54"/>
      <c r="BG12" s="82">
        <f>'Dépenses BP 2017'!T12</f>
        <v>1.369531966962374</v>
      </c>
      <c r="BH12" s="82"/>
      <c r="BI12" s="82"/>
      <c r="BJ12" s="212">
        <f t="shared" si="2"/>
        <v>0</v>
      </c>
      <c r="BK12" s="205"/>
      <c r="BL12" s="205"/>
    </row>
    <row r="13" spans="1:64">
      <c r="A13" s="1584" t="str">
        <f>'Dépenses BP 2017'!A13</f>
        <v>XX</v>
      </c>
      <c r="B13" s="220">
        <f>(C13*F13)/H13</f>
        <v>3175.8554508000034</v>
      </c>
      <c r="C13" s="61">
        <f>H13</f>
        <v>5.0000000000000044E-2</v>
      </c>
      <c r="D13" s="61"/>
      <c r="E13" s="61"/>
      <c r="F13" s="220">
        <f>'Dépenses BP 2017'!B13</f>
        <v>3175.8554508000029</v>
      </c>
      <c r="G13" s="220"/>
      <c r="H13" s="61">
        <f>'Dépenses BP 2017'!D13</f>
        <v>5.0000000000000044E-2</v>
      </c>
      <c r="I13" s="61"/>
      <c r="J13" s="61"/>
      <c r="K13" s="61"/>
      <c r="L13" s="61"/>
      <c r="M13" s="61"/>
      <c r="N13" s="58"/>
      <c r="O13" s="69">
        <f>(P13*U13)/W13</f>
        <v>2858.2699057199966</v>
      </c>
      <c r="P13" s="69">
        <f>W13-R13-T13</f>
        <v>4.499999999999995E-2</v>
      </c>
      <c r="Q13" s="69">
        <f>(R13*U13)/W13</f>
        <v>1270.3421803199999</v>
      </c>
      <c r="R13" s="69">
        <v>0.02</v>
      </c>
      <c r="S13" s="69">
        <f>(T13*U13)/W13</f>
        <v>317.58554507999997</v>
      </c>
      <c r="T13" s="69">
        <v>5.0000000000000001E-3</v>
      </c>
      <c r="U13" s="69">
        <f>'Dépenses BP 2017'!K13</f>
        <v>4446.1976311199969</v>
      </c>
      <c r="V13" s="69"/>
      <c r="W13" s="69">
        <f>'Dépenses BP 2017'!M13</f>
        <v>6.9999999999999951E-2</v>
      </c>
      <c r="X13" s="211"/>
      <c r="Y13" s="74"/>
      <c r="Z13" s="119"/>
      <c r="AA13" s="74"/>
      <c r="AB13" s="74"/>
      <c r="AC13" s="74">
        <f>(AQ13*AD13)/AS13</f>
        <v>13173.448409918397</v>
      </c>
      <c r="AD13" s="74">
        <f>AS13-AH13-AJ13-AL13-AN13-AP13</f>
        <v>0.20739999999999995</v>
      </c>
      <c r="AE13" s="126"/>
      <c r="AF13" s="126"/>
      <c r="AG13" s="74">
        <f>(AQ13*AH13)/AS13</f>
        <v>0</v>
      </c>
      <c r="AH13" s="74"/>
      <c r="AI13" s="74">
        <f>(AJ13*AQ13)/AS13</f>
        <v>635.17109016000006</v>
      </c>
      <c r="AJ13" s="74">
        <v>0.01</v>
      </c>
      <c r="AK13" s="74">
        <f>(AQ13*AL13)/AS13</f>
        <v>0</v>
      </c>
      <c r="AL13" s="74">
        <v>0</v>
      </c>
      <c r="AM13" s="74">
        <f>(AQ13*AN13)/AS13</f>
        <v>190.55132704800002</v>
      </c>
      <c r="AN13" s="119">
        <v>3.0000000000000001E-3</v>
      </c>
      <c r="AO13" s="119">
        <f>(AQ13*AP13)/AS13</f>
        <v>2540.6843606400002</v>
      </c>
      <c r="AP13" s="119">
        <v>0.04</v>
      </c>
      <c r="AQ13" s="74">
        <f>'Dépenses BP 2017'!N13</f>
        <v>16539.855187766399</v>
      </c>
      <c r="AR13" s="74"/>
      <c r="AS13" s="133">
        <f>'Dépenses BP 2017'!P13</f>
        <v>0.26039999999999996</v>
      </c>
      <c r="AT13" s="211">
        <f t="shared" si="1"/>
        <v>0</v>
      </c>
      <c r="AU13" s="119"/>
      <c r="AV13" s="119"/>
      <c r="AW13" s="119"/>
      <c r="AX13" s="119"/>
      <c r="AY13" s="74"/>
      <c r="AZ13" s="74"/>
      <c r="BA13" s="133"/>
      <c r="BB13" s="211"/>
      <c r="BC13" s="78"/>
      <c r="BD13" s="78"/>
      <c r="BE13" s="78"/>
      <c r="BF13" s="54"/>
      <c r="BG13" s="82"/>
      <c r="BH13" s="82"/>
      <c r="BI13" s="82"/>
      <c r="BJ13" s="212"/>
      <c r="BK13" s="205"/>
      <c r="BL13" s="205"/>
    </row>
    <row r="14" spans="1:64">
      <c r="A14" s="1584"/>
      <c r="B14" s="220">
        <f>(F14*C13)/H13</f>
        <v>145.81779361366625</v>
      </c>
      <c r="C14" s="61"/>
      <c r="D14" s="61"/>
      <c r="E14" s="61"/>
      <c r="F14" s="220">
        <f>'Dépenses BP 2017'!B14</f>
        <v>145.81779361366625</v>
      </c>
      <c r="G14" s="220"/>
      <c r="H14" s="61"/>
      <c r="I14" s="61"/>
      <c r="J14" s="61"/>
      <c r="K14" s="61"/>
      <c r="L14" s="61"/>
      <c r="M14" s="61"/>
      <c r="N14" s="58"/>
      <c r="O14" s="69">
        <f>(U14*P13)/W13</f>
        <v>131.23601425229936</v>
      </c>
      <c r="P14" s="69"/>
      <c r="Q14" s="69">
        <f>(U14*R13)/W13</f>
        <v>58.327117445466449</v>
      </c>
      <c r="R14" s="69"/>
      <c r="S14" s="69">
        <f>(U14*T13)/W13</f>
        <v>14.581779361366612</v>
      </c>
      <c r="T14" s="69"/>
      <c r="U14" s="69">
        <f>'Dépenses BP 2017'!K14</f>
        <v>204.14491105913243</v>
      </c>
      <c r="V14" s="69"/>
      <c r="W14" s="69"/>
      <c r="X14" s="211"/>
      <c r="Y14" s="74"/>
      <c r="Z14" s="119"/>
      <c r="AA14" s="74"/>
      <c r="AB14" s="74"/>
      <c r="AC14" s="74">
        <f>(AQ14*AD13)/AS13</f>
        <v>604.85220790948699</v>
      </c>
      <c r="AD14" s="74"/>
      <c r="AE14" s="126"/>
      <c r="AF14" s="126"/>
      <c r="AG14" s="74">
        <f>(AQ14*AH13)/AS13</f>
        <v>0</v>
      </c>
      <c r="AH14" s="74"/>
      <c r="AI14" s="74">
        <f>($AJ$13*AQ14)/$AS$13</f>
        <v>29.163558722733228</v>
      </c>
      <c r="AJ14" s="74"/>
      <c r="AK14" s="74">
        <f>(AQ14*AL13)/AS13</f>
        <v>0</v>
      </c>
      <c r="AL14" s="74"/>
      <c r="AM14" s="74">
        <f>(AQ14*AN13)/AS13</f>
        <v>8.7490676168199677</v>
      </c>
      <c r="AN14" s="119"/>
      <c r="AO14" s="119">
        <f>(AQ14*AP13)/$AS$13</f>
        <v>116.65423489093291</v>
      </c>
      <c r="AP14" s="119"/>
      <c r="AQ14" s="74">
        <f>'Dépenses BP 2017'!N14</f>
        <v>759.41906913997309</v>
      </c>
      <c r="AR14" s="74"/>
      <c r="AS14" s="133"/>
      <c r="AT14" s="211">
        <f t="shared" si="1"/>
        <v>0</v>
      </c>
      <c r="AU14" s="119"/>
      <c r="AV14" s="119"/>
      <c r="AW14" s="119"/>
      <c r="AX14" s="119"/>
      <c r="AY14" s="74"/>
      <c r="AZ14" s="74"/>
      <c r="BA14" s="133"/>
      <c r="BB14" s="211"/>
      <c r="BC14" s="78"/>
      <c r="BD14" s="78"/>
      <c r="BE14" s="78"/>
      <c r="BF14" s="54"/>
      <c r="BG14" s="82"/>
      <c r="BH14" s="82"/>
      <c r="BI14" s="82"/>
      <c r="BJ14" s="212"/>
      <c r="BK14" s="205"/>
      <c r="BL14" s="205"/>
    </row>
    <row r="15" spans="1:64">
      <c r="A15" s="1584"/>
      <c r="B15" s="220">
        <f>(F15*C13)/H13</f>
        <v>61.292700000000053</v>
      </c>
      <c r="C15" s="61"/>
      <c r="D15" s="61"/>
      <c r="E15" s="61"/>
      <c r="F15" s="220">
        <f>'Dépenses BP 2017'!B15</f>
        <v>61.292700000000053</v>
      </c>
      <c r="G15" s="220"/>
      <c r="H15" s="61"/>
      <c r="I15" s="61"/>
      <c r="J15" s="61"/>
      <c r="K15" s="61"/>
      <c r="L15" s="61"/>
      <c r="M15" s="61"/>
      <c r="N15" s="58"/>
      <c r="O15" s="69">
        <f>(U15*P13)/W13</f>
        <v>55.163429999999941</v>
      </c>
      <c r="P15" s="69"/>
      <c r="Q15" s="69">
        <f>(U15*R13)/W13</f>
        <v>24.517080000000004</v>
      </c>
      <c r="R15" s="69"/>
      <c r="S15" s="69">
        <f>(U15*T13)/W13</f>
        <v>6.1292700000000009</v>
      </c>
      <c r="T15" s="69"/>
      <c r="U15" s="69">
        <f>'Dépenses BP 2017'!K15</f>
        <v>85.809779999999947</v>
      </c>
      <c r="V15" s="69"/>
      <c r="W15" s="69"/>
      <c r="X15" s="211"/>
      <c r="Y15" s="74"/>
      <c r="Z15" s="119"/>
      <c r="AA15" s="74"/>
      <c r="AB15" s="74"/>
      <c r="AC15" s="74">
        <f>(AQ15*AD13)/AS13</f>
        <v>254.24211959999994</v>
      </c>
      <c r="AD15" s="74"/>
      <c r="AE15" s="126"/>
      <c r="AF15" s="126"/>
      <c r="AG15" s="74">
        <f>(AQ15*AH13)/AS13</f>
        <v>0</v>
      </c>
      <c r="AH15" s="74"/>
      <c r="AI15" s="74">
        <f>($AJ$13*AQ15)/$AS$13</f>
        <v>12.25854</v>
      </c>
      <c r="AJ15" s="74"/>
      <c r="AK15" s="74">
        <f>(AQ15*AL13)/AS13</f>
        <v>0</v>
      </c>
      <c r="AL15" s="74"/>
      <c r="AM15" s="74">
        <f>(AQ15*AN13)/AS13</f>
        <v>3.677562</v>
      </c>
      <c r="AN15" s="119"/>
      <c r="AO15" s="119">
        <f>(AQ15*AP13)/$AS$13</f>
        <v>49.03416</v>
      </c>
      <c r="AP15" s="119"/>
      <c r="AQ15" s="74">
        <f>'Dépenses BP 2017'!N15</f>
        <v>319.21238159999996</v>
      </c>
      <c r="AR15" s="74"/>
      <c r="AS15" s="133"/>
      <c r="AT15" s="211">
        <f t="shared" si="1"/>
        <v>0</v>
      </c>
      <c r="AU15" s="119"/>
      <c r="AV15" s="119"/>
      <c r="AW15" s="119"/>
      <c r="AX15" s="119"/>
      <c r="AY15" s="74"/>
      <c r="AZ15" s="74"/>
      <c r="BA15" s="133"/>
      <c r="BB15" s="211"/>
      <c r="BC15" s="78"/>
      <c r="BD15" s="78"/>
      <c r="BE15" s="78"/>
      <c r="BF15" s="54"/>
      <c r="BG15" s="82"/>
      <c r="BH15" s="82"/>
      <c r="BI15" s="82"/>
      <c r="BJ15" s="212"/>
      <c r="BK15" s="205"/>
      <c r="BL15" s="205"/>
    </row>
    <row r="16" spans="1:64">
      <c r="A16" s="1584" t="str">
        <f>'Dépenses BP 2017'!A16</f>
        <v>XX</v>
      </c>
      <c r="B16" s="220"/>
      <c r="C16" s="61"/>
      <c r="D16" s="61"/>
      <c r="E16" s="61"/>
      <c r="F16" s="220"/>
      <c r="G16" s="220"/>
      <c r="H16" s="61"/>
      <c r="I16" s="61"/>
      <c r="J16" s="61"/>
      <c r="K16" s="61">
        <f>'Dépenses BP 2017'!G16</f>
        <v>0</v>
      </c>
      <c r="L16" s="61"/>
      <c r="M16" s="61"/>
      <c r="N16" s="58"/>
      <c r="O16" s="69"/>
      <c r="P16" s="69"/>
      <c r="Q16" s="69"/>
      <c r="R16" s="69"/>
      <c r="S16" s="69"/>
      <c r="T16" s="69"/>
      <c r="U16" s="69">
        <f>'Dépenses BP 2017'!K16</f>
        <v>0</v>
      </c>
      <c r="V16" s="69"/>
      <c r="W16" s="69">
        <f>'Dépenses BP 2017'!M16</f>
        <v>0</v>
      </c>
      <c r="X16" s="211"/>
      <c r="Y16" s="74">
        <f>(Z16*AQ16)/AS16</f>
        <v>0</v>
      </c>
      <c r="Z16" s="119"/>
      <c r="AA16" s="74"/>
      <c r="AB16" s="74"/>
      <c r="AC16" s="74">
        <f>(AQ16*AD16)/AS16</f>
        <v>3148.0449171472683</v>
      </c>
      <c r="AD16" s="74">
        <f>AS16-AH16-AL16-AN16-AP16</f>
        <v>7.1989416700000017E-2</v>
      </c>
      <c r="AE16" s="126"/>
      <c r="AF16" s="126"/>
      <c r="AG16" s="74">
        <f>(AQ16*AH16)/AS16</f>
        <v>6559.3910774400001</v>
      </c>
      <c r="AH16" s="74">
        <v>0.15</v>
      </c>
      <c r="AI16" s="74"/>
      <c r="AJ16" s="74"/>
      <c r="AK16" s="74"/>
      <c r="AL16" s="74"/>
      <c r="AM16" s="74">
        <f>(AQ16*AN16)/AS16</f>
        <v>350.2969908207325</v>
      </c>
      <c r="AN16" s="284">
        <v>8.0105833000000005E-3</v>
      </c>
      <c r="AO16" s="119"/>
      <c r="AP16" s="284"/>
      <c r="AQ16" s="74">
        <f>'Dépenses BP 2017'!N16</f>
        <v>10057.732985408</v>
      </c>
      <c r="AR16" s="74"/>
      <c r="AS16" s="133">
        <f>'Dépenses BP 2017'!P16</f>
        <v>0.23</v>
      </c>
      <c r="AT16" s="211">
        <f t="shared" si="1"/>
        <v>0</v>
      </c>
      <c r="AU16" s="119"/>
      <c r="AV16" s="119"/>
      <c r="AW16" s="119"/>
      <c r="AX16" s="119"/>
      <c r="AY16" s="74"/>
      <c r="AZ16" s="74"/>
      <c r="BA16" s="133"/>
      <c r="BB16" s="211"/>
      <c r="BC16" s="78"/>
      <c r="BD16" s="78"/>
      <c r="BE16" s="78"/>
      <c r="BF16" s="54"/>
      <c r="BG16" s="82">
        <f>'Dépenses BP 2017'!T16</f>
        <v>10057.732985408</v>
      </c>
      <c r="BH16" s="82"/>
      <c r="BI16" s="82">
        <f>'Dépenses BP 2017'!V16</f>
        <v>0</v>
      </c>
      <c r="BJ16" s="212">
        <f t="shared" si="2"/>
        <v>-0.23000000000000004</v>
      </c>
      <c r="BK16" s="205">
        <f t="shared" si="3"/>
        <v>0.23</v>
      </c>
      <c r="BL16" s="205">
        <f>BI16-BK16</f>
        <v>-0.23</v>
      </c>
    </row>
    <row r="17" spans="1:64">
      <c r="A17" s="1584"/>
      <c r="B17" s="220"/>
      <c r="C17" s="61"/>
      <c r="D17" s="61"/>
      <c r="E17" s="61"/>
      <c r="F17" s="220"/>
      <c r="G17" s="220"/>
      <c r="H17" s="61"/>
      <c r="I17" s="61"/>
      <c r="J17" s="61"/>
      <c r="K17" s="61">
        <f>'Dépenses BP 2017'!G17</f>
        <v>0</v>
      </c>
      <c r="L17" s="61"/>
      <c r="M17" s="61"/>
      <c r="N17" s="58"/>
      <c r="O17" s="69"/>
      <c r="P17" s="69"/>
      <c r="Q17" s="69"/>
      <c r="R17" s="69"/>
      <c r="S17" s="69"/>
      <c r="T17" s="69"/>
      <c r="U17" s="69">
        <f>'Dépenses BP 2017'!K17</f>
        <v>0</v>
      </c>
      <c r="V17" s="69"/>
      <c r="W17" s="69"/>
      <c r="X17" s="211"/>
      <c r="Y17" s="74"/>
      <c r="Z17" s="119"/>
      <c r="AA17" s="74"/>
      <c r="AB17" s="74"/>
      <c r="AC17" s="74">
        <f>(AQ17*AD16)/AS16</f>
        <v>117.55170288628602</v>
      </c>
      <c r="AD17" s="74"/>
      <c r="AE17" s="126"/>
      <c r="AF17" s="126"/>
      <c r="AG17" s="74">
        <f>(AQ17*AH16)/AS16</f>
        <v>244.93538413324717</v>
      </c>
      <c r="AH17" s="74"/>
      <c r="AI17" s="74"/>
      <c r="AJ17" s="74"/>
      <c r="AK17" s="74"/>
      <c r="AL17" s="74"/>
      <c r="AM17" s="74">
        <f>(AQ17*AN16)/AS16</f>
        <v>13.080501984779167</v>
      </c>
      <c r="AN17" s="284"/>
      <c r="AO17" s="119"/>
      <c r="AP17" s="284"/>
      <c r="AQ17" s="74">
        <f>'Dépenses BP 2017'!N17</f>
        <v>375.56758900431237</v>
      </c>
      <c r="AR17" s="74"/>
      <c r="AS17" s="133"/>
      <c r="AT17" s="211">
        <f t="shared" si="1"/>
        <v>0</v>
      </c>
      <c r="AU17" s="119"/>
      <c r="AV17" s="119"/>
      <c r="AW17" s="119"/>
      <c r="AX17" s="119"/>
      <c r="AY17" s="74"/>
      <c r="AZ17" s="74"/>
      <c r="BA17" s="133"/>
      <c r="BB17" s="211"/>
      <c r="BC17" s="78"/>
      <c r="BD17" s="78"/>
      <c r="BE17" s="78"/>
      <c r="BF17" s="54"/>
      <c r="BG17" s="82">
        <f>'Dépenses BP 2017'!T17</f>
        <v>375.56758900431237</v>
      </c>
      <c r="BH17" s="82"/>
      <c r="BI17" s="82"/>
      <c r="BJ17" s="212">
        <f t="shared" si="2"/>
        <v>0</v>
      </c>
      <c r="BK17" s="205"/>
      <c r="BL17" s="205"/>
    </row>
    <row r="18" spans="1:64">
      <c r="A18" s="1584"/>
      <c r="B18" s="220"/>
      <c r="C18" s="61"/>
      <c r="D18" s="61"/>
      <c r="E18" s="61"/>
      <c r="F18" s="220"/>
      <c r="G18" s="220"/>
      <c r="H18" s="61"/>
      <c r="I18" s="61"/>
      <c r="J18" s="61"/>
      <c r="K18" s="61">
        <f>'Dépenses BP 2017'!G18</f>
        <v>0</v>
      </c>
      <c r="L18" s="61"/>
      <c r="M18" s="61"/>
      <c r="N18" s="58"/>
      <c r="O18" s="69"/>
      <c r="P18" s="69"/>
      <c r="Q18" s="69"/>
      <c r="R18" s="69"/>
      <c r="S18" s="69"/>
      <c r="T18" s="69"/>
      <c r="U18" s="69">
        <f>'Dépenses BP 2017'!K18</f>
        <v>0</v>
      </c>
      <c r="V18" s="69"/>
      <c r="W18" s="69"/>
      <c r="X18" s="211"/>
      <c r="Y18" s="74"/>
      <c r="Z18" s="119"/>
      <c r="AA18" s="74"/>
      <c r="AB18" s="74"/>
      <c r="AC18" s="74">
        <f>(AQ18*AD16)/AS16</f>
        <v>60.021118582091646</v>
      </c>
      <c r="AD18" s="74"/>
      <c r="AE18" s="126"/>
      <c r="AF18" s="126"/>
      <c r="AG18" s="74">
        <f>(AQ18*AH16)/AS16</f>
        <v>125.06237999999999</v>
      </c>
      <c r="AH18" s="74"/>
      <c r="AI18" s="74"/>
      <c r="AJ18" s="74"/>
      <c r="AK18" s="74"/>
      <c r="AL18" s="74"/>
      <c r="AM18" s="74">
        <f>(AQ18*AN16)/AS16</f>
        <v>6.6788174179083599</v>
      </c>
      <c r="AN18" s="284"/>
      <c r="AO18" s="119"/>
      <c r="AP18" s="284"/>
      <c r="AQ18" s="74">
        <f>'Dépenses BP 2017'!N18</f>
        <v>191.762316</v>
      </c>
      <c r="AR18" s="74"/>
      <c r="AS18" s="133"/>
      <c r="AT18" s="211">
        <f t="shared" si="1"/>
        <v>0</v>
      </c>
      <c r="AU18" s="119"/>
      <c r="AV18" s="119"/>
      <c r="AW18" s="119"/>
      <c r="AX18" s="119"/>
      <c r="AY18" s="74"/>
      <c r="AZ18" s="74"/>
      <c r="BA18" s="133"/>
      <c r="BB18" s="211"/>
      <c r="BC18" s="78"/>
      <c r="BD18" s="78"/>
      <c r="BE18" s="78"/>
      <c r="BF18" s="54"/>
      <c r="BG18" s="82">
        <f>'Dépenses BP 2017'!T18</f>
        <v>191.762316</v>
      </c>
      <c r="BH18" s="82"/>
      <c r="BI18" s="82"/>
      <c r="BJ18" s="212">
        <f t="shared" si="2"/>
        <v>0</v>
      </c>
      <c r="BK18" s="205"/>
      <c r="BL18" s="205"/>
    </row>
    <row r="19" spans="1:64">
      <c r="A19" s="1584" t="str">
        <f>'Dépenses BP 2017'!A19</f>
        <v>XX</v>
      </c>
      <c r="B19" s="220"/>
      <c r="C19" s="61"/>
      <c r="D19" s="61"/>
      <c r="E19" s="61"/>
      <c r="F19" s="220"/>
      <c r="G19" s="220"/>
      <c r="H19" s="61"/>
      <c r="I19" s="61"/>
      <c r="J19" s="61"/>
      <c r="K19" s="61">
        <f>'Dépenses BP 2017'!G19</f>
        <v>0</v>
      </c>
      <c r="L19" s="61"/>
      <c r="M19" s="61"/>
      <c r="N19" s="58"/>
      <c r="O19" s="69"/>
      <c r="P19" s="69"/>
      <c r="Q19" s="69"/>
      <c r="R19" s="69"/>
      <c r="S19" s="69"/>
      <c r="T19" s="69"/>
      <c r="U19" s="69">
        <f>'Dépenses BP 2017'!K19</f>
        <v>0</v>
      </c>
      <c r="V19" s="69"/>
      <c r="W19" s="69">
        <f>'Dépenses BP 2017'!M19</f>
        <v>0</v>
      </c>
      <c r="X19" s="211"/>
      <c r="Y19" s="74"/>
      <c r="Z19" s="119"/>
      <c r="AA19" s="74"/>
      <c r="AB19" s="74"/>
      <c r="AC19" s="74"/>
      <c r="AD19" s="74"/>
      <c r="AE19" s="126"/>
      <c r="AF19" s="126"/>
      <c r="AG19" s="74"/>
      <c r="AH19" s="74"/>
      <c r="AI19" s="74"/>
      <c r="AJ19" s="74"/>
      <c r="AK19" s="74"/>
      <c r="AL19" s="74"/>
      <c r="AM19" s="74"/>
      <c r="AN19" s="119"/>
      <c r="AO19" s="119"/>
      <c r="AP19" s="119"/>
      <c r="AQ19" s="74"/>
      <c r="AR19" s="74"/>
      <c r="AS19" s="133"/>
      <c r="AT19" s="211">
        <f t="shared" si="1"/>
        <v>0</v>
      </c>
      <c r="AU19" s="119">
        <f>(AY19*AV19)/$BA$19</f>
        <v>28729.761461396036</v>
      </c>
      <c r="AV19" s="119">
        <f>BA19-AX19</f>
        <v>0.64163690052167999</v>
      </c>
      <c r="AW19" s="119">
        <f>(AX19*AY19)/$BA$19</f>
        <v>544.58480879511194</v>
      </c>
      <c r="AX19" s="119">
        <f>AP1*0.0186028</f>
        <v>1.216249947832E-2</v>
      </c>
      <c r="AY19" s="74">
        <f>'Dépenses BP 2017'!Q19</f>
        <v>29274.346270191152</v>
      </c>
      <c r="AZ19" s="74"/>
      <c r="BA19" s="133">
        <f>'Dépenses BP 2017'!S19</f>
        <v>0.65379940000000003</v>
      </c>
      <c r="BB19" s="211"/>
      <c r="BC19" s="78">
        <f>'Dépenses BP 2017'!Q19</f>
        <v>29274.346270191152</v>
      </c>
      <c r="BD19" s="78"/>
      <c r="BE19" s="78">
        <f>'Dépenses BP 2017'!S19</f>
        <v>0.65379940000000003</v>
      </c>
      <c r="BF19" s="54"/>
      <c r="BG19" s="82">
        <f>'Dépenses BP 2017'!T19</f>
        <v>29274.346270191152</v>
      </c>
      <c r="BH19" s="82"/>
      <c r="BI19" s="82">
        <f>'Dépenses BP 2017'!V19</f>
        <v>0</v>
      </c>
      <c r="BJ19" s="212">
        <f t="shared" si="2"/>
        <v>-0.65379940000000003</v>
      </c>
      <c r="BK19" s="205">
        <f t="shared" si="3"/>
        <v>0.65379940000000003</v>
      </c>
      <c r="BL19" s="205">
        <f>BI19-BK19</f>
        <v>-0.65379940000000003</v>
      </c>
    </row>
    <row r="20" spans="1:64">
      <c r="A20" s="1584"/>
      <c r="B20" s="220"/>
      <c r="C20" s="61"/>
      <c r="D20" s="61"/>
      <c r="E20" s="61"/>
      <c r="F20" s="220"/>
      <c r="G20" s="220"/>
      <c r="H20" s="61"/>
      <c r="I20" s="61"/>
      <c r="J20" s="61"/>
      <c r="K20" s="61">
        <f>'Dépenses BP 2017'!G20</f>
        <v>0</v>
      </c>
      <c r="L20" s="61"/>
      <c r="M20" s="61"/>
      <c r="N20" s="58"/>
      <c r="O20" s="69"/>
      <c r="P20" s="69"/>
      <c r="Q20" s="69"/>
      <c r="R20" s="69"/>
      <c r="S20" s="69"/>
      <c r="T20" s="69"/>
      <c r="U20" s="69">
        <f>'Dépenses BP 2017'!K20</f>
        <v>0</v>
      </c>
      <c r="V20" s="69"/>
      <c r="W20" s="69"/>
      <c r="X20" s="211"/>
      <c r="Y20" s="74"/>
      <c r="Z20" s="119"/>
      <c r="AA20" s="74"/>
      <c r="AB20" s="74"/>
      <c r="AC20" s="74"/>
      <c r="AD20" s="74"/>
      <c r="AE20" s="126"/>
      <c r="AF20" s="126"/>
      <c r="AG20" s="74"/>
      <c r="AH20" s="74"/>
      <c r="AI20" s="74"/>
      <c r="AJ20" s="74"/>
      <c r="AK20" s="74"/>
      <c r="AL20" s="74"/>
      <c r="AM20" s="74"/>
      <c r="AN20" s="119"/>
      <c r="AO20" s="119"/>
      <c r="AP20" s="119"/>
      <c r="AQ20" s="74"/>
      <c r="AR20" s="74"/>
      <c r="AS20" s="133"/>
      <c r="AT20" s="211">
        <f t="shared" si="1"/>
        <v>0</v>
      </c>
      <c r="AU20" s="119">
        <f>(AY20*AV19)/$BA$19</f>
        <v>1070.2770983155037</v>
      </c>
      <c r="AV20" s="119"/>
      <c r="AW20" s="119">
        <f>(AX19*AY20)/$BA$19</f>
        <v>20.287556154168421</v>
      </c>
      <c r="AX20" s="119"/>
      <c r="AY20" s="74">
        <f>'Dépenses BP 2017'!Q20</f>
        <v>1090.5646544696724</v>
      </c>
      <c r="AZ20" s="74"/>
      <c r="BA20" s="133"/>
      <c r="BB20" s="211"/>
      <c r="BC20" s="78"/>
      <c r="BD20" s="78"/>
      <c r="BE20" s="78"/>
      <c r="BF20" s="54"/>
      <c r="BG20" s="82">
        <f>'Dépenses BP 2017'!T20</f>
        <v>1090.5646544696724</v>
      </c>
      <c r="BH20" s="82"/>
      <c r="BI20" s="82"/>
      <c r="BJ20" s="212">
        <f t="shared" si="2"/>
        <v>0</v>
      </c>
      <c r="BK20" s="205"/>
      <c r="BL20" s="205"/>
    </row>
    <row r="21" spans="1:64">
      <c r="A21" s="1584"/>
      <c r="B21" s="220"/>
      <c r="C21" s="61"/>
      <c r="D21" s="61"/>
      <c r="E21" s="61"/>
      <c r="F21" s="220"/>
      <c r="G21" s="220"/>
      <c r="H21" s="61"/>
      <c r="I21" s="61"/>
      <c r="J21" s="61"/>
      <c r="K21" s="61">
        <f>'Dépenses BP 2017'!G21</f>
        <v>0</v>
      </c>
      <c r="L21" s="61"/>
      <c r="M21" s="61"/>
      <c r="N21" s="58"/>
      <c r="O21" s="69"/>
      <c r="P21" s="69"/>
      <c r="Q21" s="69"/>
      <c r="R21" s="69"/>
      <c r="S21" s="69"/>
      <c r="T21" s="69"/>
      <c r="U21" s="69">
        <f>'Dépenses BP 2017'!K21</f>
        <v>0</v>
      </c>
      <c r="V21" s="69"/>
      <c r="W21" s="69"/>
      <c r="X21" s="211"/>
      <c r="Y21" s="74"/>
      <c r="Z21" s="119"/>
      <c r="AA21" s="74"/>
      <c r="AB21" s="74"/>
      <c r="AC21" s="74"/>
      <c r="AD21" s="74"/>
      <c r="AE21" s="126"/>
      <c r="AF21" s="126"/>
      <c r="AG21" s="74"/>
      <c r="AH21" s="74"/>
      <c r="AI21" s="74"/>
      <c r="AJ21" s="74"/>
      <c r="AK21" s="74"/>
      <c r="AL21" s="74"/>
      <c r="AM21" s="74"/>
      <c r="AN21" s="119"/>
      <c r="AO21" s="119"/>
      <c r="AP21" s="119"/>
      <c r="AQ21" s="74"/>
      <c r="AR21" s="74"/>
      <c r="AS21" s="133"/>
      <c r="AT21" s="211">
        <f t="shared" si="1"/>
        <v>0</v>
      </c>
      <c r="AU21" s="119">
        <f>(AY21*AV19)/$BA$19</f>
        <v>549.87830662329998</v>
      </c>
      <c r="AV21" s="119"/>
      <c r="AW21" s="119">
        <f>(AX19*AY21)/$BA$19</f>
        <v>10.423176428923911</v>
      </c>
      <c r="AX21" s="119"/>
      <c r="AY21" s="74">
        <f>'Dépenses BP 2017'!Q21</f>
        <v>560.30148305222394</v>
      </c>
      <c r="AZ21" s="74"/>
      <c r="BA21" s="133"/>
      <c r="BB21" s="211"/>
      <c r="BC21" s="78"/>
      <c r="BD21" s="78"/>
      <c r="BE21" s="78"/>
      <c r="BF21" s="54"/>
      <c r="BG21" s="82">
        <f>'Dépenses BP 2017'!T21</f>
        <v>560.30148305222394</v>
      </c>
      <c r="BH21" s="82"/>
      <c r="BI21" s="82"/>
      <c r="BJ21" s="212">
        <f t="shared" si="2"/>
        <v>0</v>
      </c>
      <c r="BK21" s="205"/>
      <c r="BL21" s="205"/>
    </row>
    <row r="22" spans="1:64">
      <c r="A22" s="1584" t="str">
        <f>'Dépenses BP 2017'!A22</f>
        <v>XX</v>
      </c>
      <c r="B22" s="220">
        <f>(C22*F22)/H22</f>
        <v>8120.3603459615979</v>
      </c>
      <c r="C22" s="61">
        <f>H22</f>
        <v>0.19799999999999995</v>
      </c>
      <c r="D22" s="61"/>
      <c r="E22" s="61"/>
      <c r="F22" s="220">
        <f>'Dépenses BP 2017'!B22</f>
        <v>8120.3603459615979</v>
      </c>
      <c r="G22" s="220"/>
      <c r="H22" s="61">
        <f>'Dépenses BP 2017'!D22</f>
        <v>0.19799999999999995</v>
      </c>
      <c r="I22" s="61">
        <f>'Dépenses BP 2017'!E22</f>
        <v>0</v>
      </c>
      <c r="J22" s="61">
        <f>'Dépenses BP 2017'!F22</f>
        <v>0</v>
      </c>
      <c r="K22" s="61">
        <f>'Dépenses BP 2017'!G22</f>
        <v>8120.3603459615979</v>
      </c>
      <c r="L22" s="61"/>
      <c r="M22" s="61">
        <f>'Dépenses BP 2017'!I22</f>
        <v>0.19799999999999995</v>
      </c>
      <c r="N22" s="58"/>
      <c r="O22" s="69">
        <f>(P22*U22)/W22</f>
        <v>18823.159411646582</v>
      </c>
      <c r="P22" s="69">
        <f>W22-R22-T22</f>
        <v>0.45896800199999999</v>
      </c>
      <c r="Q22" s="69">
        <f>(R22*U22)/W22</f>
        <v>0</v>
      </c>
      <c r="R22" s="69">
        <v>0</v>
      </c>
      <c r="S22" s="69">
        <f>(T22*U22)/W22</f>
        <v>1764.8248998318124</v>
      </c>
      <c r="T22" s="69">
        <v>4.3031998000000002E-2</v>
      </c>
      <c r="U22" s="69">
        <f>'Dépenses BP 2017'!K22</f>
        <v>20587.984311478398</v>
      </c>
      <c r="V22" s="69"/>
      <c r="W22" s="69">
        <f>'Dépenses BP 2017'!M22</f>
        <v>0.502</v>
      </c>
      <c r="X22" s="211"/>
      <c r="Y22" s="74"/>
      <c r="Z22" s="74"/>
      <c r="AA22" s="74"/>
      <c r="AB22" s="74"/>
      <c r="AC22" s="74"/>
      <c r="AD22" s="74"/>
      <c r="AE22" s="126"/>
      <c r="AF22" s="126"/>
      <c r="AG22" s="74"/>
      <c r="AH22" s="74"/>
      <c r="AI22" s="74">
        <f>(AJ22*AQ22)/AS22</f>
        <v>2460.7152563519994</v>
      </c>
      <c r="AJ22" s="74">
        <v>0.06</v>
      </c>
      <c r="AK22" s="74">
        <f>(AQ22*AL22)/AS22</f>
        <v>24.063744611075755</v>
      </c>
      <c r="AL22" s="74">
        <f>AS22-AP22-AJ22</f>
        <v>5.8675000000000394E-4</v>
      </c>
      <c r="AM22" s="74"/>
      <c r="AN22" s="119"/>
      <c r="AO22" s="119">
        <f>(AQ22*AP22)/$AS$22</f>
        <v>0</v>
      </c>
      <c r="AP22" s="119">
        <v>0</v>
      </c>
      <c r="AQ22" s="74">
        <f>'Dépenses BP 2017'!N22</f>
        <v>2484.7790009630753</v>
      </c>
      <c r="AR22" s="74"/>
      <c r="AS22" s="133">
        <f>'Dépenses BP 2017'!P22</f>
        <v>6.0586750000000002E-2</v>
      </c>
      <c r="AT22" s="211">
        <f t="shared" si="1"/>
        <v>0</v>
      </c>
      <c r="AU22" s="119"/>
      <c r="AV22" s="119"/>
      <c r="AW22" s="119"/>
      <c r="AX22" s="119"/>
      <c r="AY22" s="74"/>
      <c r="AZ22" s="74"/>
      <c r="BA22" s="133"/>
      <c r="BB22" s="211"/>
      <c r="BC22" s="78"/>
      <c r="BD22" s="78"/>
      <c r="BE22" s="78"/>
      <c r="BF22" s="54"/>
      <c r="BG22" s="82">
        <f>'Dépenses BP 2017'!T22</f>
        <v>31193.12365840307</v>
      </c>
      <c r="BH22" s="82"/>
      <c r="BI22" s="82">
        <f>'Dépenses BP 2017'!V22</f>
        <v>0</v>
      </c>
      <c r="BJ22" s="212">
        <f t="shared" si="2"/>
        <v>-0.76058674999999998</v>
      </c>
      <c r="BK22" s="205">
        <f t="shared" si="3"/>
        <v>0.70058674999999992</v>
      </c>
      <c r="BL22" s="205">
        <f>BI22-BK22</f>
        <v>-0.70058674999999992</v>
      </c>
    </row>
    <row r="23" spans="1:64">
      <c r="A23" s="1584"/>
      <c r="B23" s="220">
        <f>(F23*C22)/H22</f>
        <v>289.16707478546175</v>
      </c>
      <c r="C23" s="61"/>
      <c r="D23" s="61"/>
      <c r="E23" s="61"/>
      <c r="F23" s="220">
        <f>'Dépenses BP 2017'!B23</f>
        <v>289.16707478546175</v>
      </c>
      <c r="G23" s="220"/>
      <c r="H23" s="61"/>
      <c r="I23" s="61"/>
      <c r="J23" s="61"/>
      <c r="K23" s="61">
        <f>'Dépenses BP 2017'!G23</f>
        <v>289.16707478546175</v>
      </c>
      <c r="L23" s="61"/>
      <c r="M23" s="61"/>
      <c r="N23" s="58"/>
      <c r="O23" s="69">
        <f>(U23*P22)/W22</f>
        <v>670.29512403266654</v>
      </c>
      <c r="P23" s="69"/>
      <c r="Q23" s="69">
        <f>(U23*R22)/W22</f>
        <v>0</v>
      </c>
      <c r="R23" s="69"/>
      <c r="S23" s="69">
        <f>(U23*T22)/W22</f>
        <v>62.845641332494161</v>
      </c>
      <c r="T23" s="69"/>
      <c r="U23" s="69">
        <f>'Dépenses BP 2017'!K23</f>
        <v>733.14076536516075</v>
      </c>
      <c r="V23" s="69"/>
      <c r="W23" s="69"/>
      <c r="X23" s="211"/>
      <c r="Y23" s="74"/>
      <c r="Z23" s="74"/>
      <c r="AA23" s="74"/>
      <c r="AB23" s="74"/>
      <c r="AC23" s="74"/>
      <c r="AD23" s="74"/>
      <c r="AE23" s="126"/>
      <c r="AF23" s="126"/>
      <c r="AG23" s="74"/>
      <c r="AH23" s="74"/>
      <c r="AI23" s="74">
        <f>($AJ$22*AQ23)/$AS$22</f>
        <v>87.626386298624794</v>
      </c>
      <c r="AJ23" s="74"/>
      <c r="AK23" s="74">
        <f>(AQ23*AL22)/AS22</f>
        <v>0.85691303601197411</v>
      </c>
      <c r="AL23" s="74"/>
      <c r="AM23" s="74"/>
      <c r="AN23" s="119"/>
      <c r="AO23" s="119">
        <f>(AQ23*AP22)/$AS$22</f>
        <v>0</v>
      </c>
      <c r="AP23" s="119"/>
      <c r="AQ23" s="74">
        <f>'Dépenses BP 2017'!N23</f>
        <v>88.483299334636769</v>
      </c>
      <c r="AR23" s="74"/>
      <c r="AS23" s="133"/>
      <c r="AT23" s="211">
        <f t="shared" si="1"/>
        <v>0</v>
      </c>
      <c r="AU23" s="119"/>
      <c r="AV23" s="119"/>
      <c r="AW23" s="119"/>
      <c r="AX23" s="119"/>
      <c r="AY23" s="74"/>
      <c r="AZ23" s="74"/>
      <c r="BA23" s="133"/>
      <c r="BB23" s="211"/>
      <c r="BC23" s="78"/>
      <c r="BD23" s="78"/>
      <c r="BE23" s="78"/>
      <c r="BF23" s="54"/>
      <c r="BG23" s="82">
        <f>'Dépenses BP 2017'!T23</f>
        <v>1110.7911394852592</v>
      </c>
      <c r="BH23" s="82"/>
      <c r="BI23" s="82"/>
      <c r="BJ23" s="212">
        <f t="shared" si="2"/>
        <v>0</v>
      </c>
      <c r="BK23" s="205"/>
      <c r="BL23" s="205"/>
    </row>
    <row r="24" spans="1:64">
      <c r="A24" s="1584"/>
      <c r="B24" s="220">
        <f>(F24*C22)/H22</f>
        <v>154.65550319999997</v>
      </c>
      <c r="C24" s="61"/>
      <c r="D24" s="61"/>
      <c r="E24" s="61"/>
      <c r="F24" s="220">
        <f>'Dépenses BP 2017'!B24</f>
        <v>154.65550319999997</v>
      </c>
      <c r="G24" s="220"/>
      <c r="H24" s="61"/>
      <c r="I24" s="61"/>
      <c r="J24" s="61"/>
      <c r="K24" s="61">
        <f>'Dépenses BP 2017'!G24</f>
        <v>154.65550319999997</v>
      </c>
      <c r="L24" s="61"/>
      <c r="M24" s="61"/>
      <c r="N24" s="58"/>
      <c r="O24" s="69">
        <f>(U24*P22)/W22</f>
        <v>358.49458233337674</v>
      </c>
      <c r="P24" s="69"/>
      <c r="Q24" s="69">
        <f>(U24*R22)/W22</f>
        <v>0</v>
      </c>
      <c r="R24" s="69"/>
      <c r="S24" s="69">
        <f>(U24*T22)/W22</f>
        <v>33.611794466623202</v>
      </c>
      <c r="T24" s="69"/>
      <c r="U24" s="69">
        <f>'Dépenses BP 2017'!K24</f>
        <v>392.10637679999996</v>
      </c>
      <c r="V24" s="69"/>
      <c r="W24" s="69"/>
      <c r="X24" s="211"/>
      <c r="Y24" s="74"/>
      <c r="Z24" s="74"/>
      <c r="AA24" s="74"/>
      <c r="AB24" s="74"/>
      <c r="AC24" s="74"/>
      <c r="AD24" s="74"/>
      <c r="AE24" s="126"/>
      <c r="AF24" s="126"/>
      <c r="AG24" s="74"/>
      <c r="AH24" s="74"/>
      <c r="AI24" s="74">
        <f>($AJ$22*AQ24)/$AS$22</f>
        <v>46.865304000000002</v>
      </c>
      <c r="AJ24" s="74"/>
      <c r="AK24" s="74">
        <f>(AQ24*AL22)/AS22</f>
        <v>0.45830361870000308</v>
      </c>
      <c r="AL24" s="74"/>
      <c r="AM24" s="74"/>
      <c r="AN24" s="119"/>
      <c r="AO24" s="119">
        <f>(AQ24*AP22)/$AS$22</f>
        <v>0</v>
      </c>
      <c r="AP24" s="119"/>
      <c r="AQ24" s="74">
        <f>'Dépenses BP 2017'!N24</f>
        <v>47.323607618700002</v>
      </c>
      <c r="AR24" s="74"/>
      <c r="AS24" s="133"/>
      <c r="AT24" s="211">
        <f t="shared" si="1"/>
        <v>0</v>
      </c>
      <c r="AU24" s="119"/>
      <c r="AV24" s="119"/>
      <c r="AW24" s="119"/>
      <c r="AX24" s="119"/>
      <c r="AY24" s="74"/>
      <c r="AZ24" s="74"/>
      <c r="BA24" s="133"/>
      <c r="BB24" s="211"/>
      <c r="BC24" s="78"/>
      <c r="BD24" s="78"/>
      <c r="BE24" s="78"/>
      <c r="BF24" s="54"/>
      <c r="BG24" s="82">
        <f>'Dépenses BP 2017'!T24</f>
        <v>594.08548761869986</v>
      </c>
      <c r="BH24" s="82"/>
      <c r="BI24" s="82"/>
      <c r="BJ24" s="212">
        <f t="shared" si="2"/>
        <v>0</v>
      </c>
      <c r="BK24" s="205"/>
      <c r="BL24" s="205"/>
    </row>
    <row r="25" spans="1:64">
      <c r="A25" s="1584" t="str">
        <f>'Dépenses BP 2017'!A25</f>
        <v>XX</v>
      </c>
      <c r="B25" s="220"/>
      <c r="C25" s="61"/>
      <c r="D25" s="61"/>
      <c r="E25" s="61"/>
      <c r="F25" s="220"/>
      <c r="G25" s="220"/>
      <c r="H25" s="61"/>
      <c r="I25" s="61"/>
      <c r="J25" s="61"/>
      <c r="K25" s="61">
        <f>'Dépenses BP 2017'!G25</f>
        <v>0</v>
      </c>
      <c r="L25" s="61"/>
      <c r="M25" s="61"/>
      <c r="N25" s="58"/>
      <c r="O25" s="69"/>
      <c r="P25" s="69"/>
      <c r="Q25" s="69"/>
      <c r="R25" s="69"/>
      <c r="S25" s="69"/>
      <c r="T25" s="69"/>
      <c r="U25" s="69">
        <f>'Dépenses BP 2017'!K25</f>
        <v>0</v>
      </c>
      <c r="V25" s="69"/>
      <c r="W25" s="69">
        <f>'Dépenses BP 2017'!M25</f>
        <v>0</v>
      </c>
      <c r="X25" s="211"/>
      <c r="Y25" s="74"/>
      <c r="Z25" s="74"/>
      <c r="AA25" s="74"/>
      <c r="AB25" s="74"/>
      <c r="AC25" s="74">
        <f>(AQ25*AD25)/AS25</f>
        <v>0</v>
      </c>
      <c r="AD25" s="74">
        <v>0</v>
      </c>
      <c r="AE25" s="126"/>
      <c r="AF25" s="126"/>
      <c r="AG25" s="74">
        <f>(AQ25*AH25)/AS25</f>
        <v>18395.744155254397</v>
      </c>
      <c r="AH25" s="74">
        <f>AS25-AD25</f>
        <v>0.62</v>
      </c>
      <c r="AI25" s="74"/>
      <c r="AJ25" s="74"/>
      <c r="AK25" s="74"/>
      <c r="AL25" s="74"/>
      <c r="AM25" s="74"/>
      <c r="AN25" s="119"/>
      <c r="AO25" s="119"/>
      <c r="AP25" s="119"/>
      <c r="AQ25" s="74">
        <f>'Dépenses BP 2017'!N25</f>
        <v>18395.744155254397</v>
      </c>
      <c r="AR25" s="74"/>
      <c r="AS25" s="133">
        <f>'Dépenses BP 2017'!P25</f>
        <v>0.62</v>
      </c>
      <c r="AT25" s="211">
        <f t="shared" si="1"/>
        <v>0</v>
      </c>
      <c r="AU25" s="119"/>
      <c r="AV25" s="119"/>
      <c r="AW25" s="119"/>
      <c r="AX25" s="119"/>
      <c r="AY25" s="74"/>
      <c r="AZ25" s="74"/>
      <c r="BA25" s="133"/>
      <c r="BB25" s="211"/>
      <c r="BC25" s="78"/>
      <c r="BD25" s="78"/>
      <c r="BE25" s="78"/>
      <c r="BF25" s="54"/>
      <c r="BG25" s="82">
        <f>'Dépenses BP 2017'!T25</f>
        <v>18395.744155254397</v>
      </c>
      <c r="BH25" s="82"/>
      <c r="BI25" s="82">
        <f>'Dépenses BP 2017'!V25</f>
        <v>0</v>
      </c>
      <c r="BJ25" s="212">
        <f t="shared" si="2"/>
        <v>-0.62</v>
      </c>
      <c r="BK25" s="205">
        <f t="shared" si="3"/>
        <v>0.62</v>
      </c>
      <c r="BL25" s="205">
        <f>BI25-BK25</f>
        <v>-0.62</v>
      </c>
    </row>
    <row r="26" spans="1:64">
      <c r="A26" s="1584"/>
      <c r="B26" s="220"/>
      <c r="C26" s="61"/>
      <c r="D26" s="61"/>
      <c r="E26" s="61"/>
      <c r="F26" s="220"/>
      <c r="G26" s="220"/>
      <c r="H26" s="61"/>
      <c r="I26" s="61"/>
      <c r="J26" s="61"/>
      <c r="K26" s="61">
        <f>'Dépenses BP 2017'!G26</f>
        <v>0</v>
      </c>
      <c r="L26" s="61"/>
      <c r="M26" s="61"/>
      <c r="N26" s="58"/>
      <c r="O26" s="69"/>
      <c r="P26" s="69"/>
      <c r="Q26" s="69"/>
      <c r="R26" s="69"/>
      <c r="S26" s="69"/>
      <c r="T26" s="69"/>
      <c r="U26" s="69">
        <f>'Dépenses BP 2017'!K26</f>
        <v>0</v>
      </c>
      <c r="V26" s="69"/>
      <c r="W26" s="69"/>
      <c r="X26" s="211"/>
      <c r="Y26" s="74"/>
      <c r="Z26" s="74"/>
      <c r="AA26" s="74"/>
      <c r="AB26" s="74"/>
      <c r="AC26" s="74">
        <f>(AQ26*AD25)/AS25</f>
        <v>0</v>
      </c>
      <c r="AD26" s="74"/>
      <c r="AE26" s="126"/>
      <c r="AF26" s="126"/>
      <c r="AG26" s="74">
        <f>(AQ26*AH25)/AS25</f>
        <v>584.69187042422595</v>
      </c>
      <c r="AH26" s="74"/>
      <c r="AI26" s="74"/>
      <c r="AJ26" s="74"/>
      <c r="AK26" s="74"/>
      <c r="AL26" s="74"/>
      <c r="AM26" s="74"/>
      <c r="AN26" s="119"/>
      <c r="AO26" s="119"/>
      <c r="AP26" s="119"/>
      <c r="AQ26" s="74">
        <f>'Dépenses BP 2017'!N26</f>
        <v>584.69187042422595</v>
      </c>
      <c r="AR26" s="74"/>
      <c r="AS26" s="133"/>
      <c r="AT26" s="211">
        <f t="shared" si="1"/>
        <v>0</v>
      </c>
      <c r="AU26" s="119"/>
      <c r="AV26" s="119"/>
      <c r="AW26" s="119"/>
      <c r="AX26" s="119"/>
      <c r="AY26" s="74"/>
      <c r="AZ26" s="74"/>
      <c r="BA26" s="133"/>
      <c r="BB26" s="211"/>
      <c r="BC26" s="78"/>
      <c r="BD26" s="78"/>
      <c r="BE26" s="78"/>
      <c r="BF26" s="54"/>
      <c r="BG26" s="82">
        <f>'Dépenses BP 2017'!T26</f>
        <v>584.69187042422595</v>
      </c>
      <c r="BH26" s="82"/>
      <c r="BI26" s="82"/>
      <c r="BJ26" s="212">
        <f t="shared" si="2"/>
        <v>0</v>
      </c>
      <c r="BK26" s="205"/>
      <c r="BL26" s="205"/>
    </row>
    <row r="27" spans="1:64">
      <c r="A27" s="1584"/>
      <c r="B27" s="220"/>
      <c r="C27" s="61"/>
      <c r="D27" s="61"/>
      <c r="E27" s="61"/>
      <c r="F27" s="220"/>
      <c r="G27" s="220"/>
      <c r="H27" s="61"/>
      <c r="I27" s="61"/>
      <c r="J27" s="61"/>
      <c r="K27" s="61">
        <f>'Dépenses BP 2017'!G27</f>
        <v>0</v>
      </c>
      <c r="L27" s="61"/>
      <c r="M27" s="61"/>
      <c r="N27" s="58"/>
      <c r="O27" s="69"/>
      <c r="P27" s="69"/>
      <c r="Q27" s="69"/>
      <c r="R27" s="69"/>
      <c r="S27" s="69"/>
      <c r="T27" s="69"/>
      <c r="U27" s="69">
        <f>'Dépenses BP 2017'!K27</f>
        <v>0</v>
      </c>
      <c r="V27" s="69"/>
      <c r="W27" s="69"/>
      <c r="X27" s="211"/>
      <c r="Y27" s="74"/>
      <c r="Z27" s="74"/>
      <c r="AA27" s="74"/>
      <c r="AB27" s="74"/>
      <c r="AC27" s="74">
        <f>(AQ27*AD25)/AS25</f>
        <v>0</v>
      </c>
      <c r="AD27" s="74"/>
      <c r="AE27" s="126"/>
      <c r="AF27" s="126"/>
      <c r="AG27" s="74">
        <f>(AQ27*AH25)/AS25</f>
        <v>386.32571999999999</v>
      </c>
      <c r="AH27" s="74"/>
      <c r="AI27" s="74"/>
      <c r="AJ27" s="74"/>
      <c r="AK27" s="74"/>
      <c r="AL27" s="74"/>
      <c r="AM27" s="74"/>
      <c r="AN27" s="119"/>
      <c r="AO27" s="119"/>
      <c r="AP27" s="119"/>
      <c r="AQ27" s="74">
        <f>'Dépenses BP 2017'!N27</f>
        <v>386.32571999999999</v>
      </c>
      <c r="AR27" s="74"/>
      <c r="AS27" s="133"/>
      <c r="AT27" s="211">
        <f t="shared" si="1"/>
        <v>0</v>
      </c>
      <c r="AU27" s="119"/>
      <c r="AV27" s="119"/>
      <c r="AW27" s="119"/>
      <c r="AX27" s="119"/>
      <c r="AY27" s="74"/>
      <c r="AZ27" s="74"/>
      <c r="BA27" s="133"/>
      <c r="BB27" s="211"/>
      <c r="BC27" s="78"/>
      <c r="BD27" s="78"/>
      <c r="BE27" s="78"/>
      <c r="BF27" s="54"/>
      <c r="BG27" s="82">
        <f>'Dépenses BP 2017'!T27</f>
        <v>386.32571999999999</v>
      </c>
      <c r="BH27" s="82"/>
      <c r="BI27" s="82"/>
      <c r="BJ27" s="212">
        <f t="shared" si="2"/>
        <v>0</v>
      </c>
      <c r="BK27" s="205"/>
      <c r="BL27" s="205"/>
    </row>
    <row r="28" spans="1:64">
      <c r="A28" s="1584" t="str">
        <f>'Dépenses BP 2017'!A28</f>
        <v>XX</v>
      </c>
      <c r="B28" s="220"/>
      <c r="C28" s="61"/>
      <c r="D28" s="61"/>
      <c r="E28" s="61"/>
      <c r="F28" s="220"/>
      <c r="G28" s="220"/>
      <c r="H28" s="61"/>
      <c r="I28" s="61"/>
      <c r="J28" s="61"/>
      <c r="K28" s="61">
        <f>'Dépenses BP 2017'!G28</f>
        <v>0</v>
      </c>
      <c r="L28" s="61"/>
      <c r="M28" s="61"/>
      <c r="N28" s="58"/>
      <c r="O28" s="69"/>
      <c r="P28" s="69"/>
      <c r="Q28" s="69"/>
      <c r="R28" s="69"/>
      <c r="S28" s="69"/>
      <c r="T28" s="69"/>
      <c r="U28" s="69"/>
      <c r="V28" s="69"/>
      <c r="W28" s="69"/>
      <c r="X28" s="211"/>
      <c r="Y28" s="74"/>
      <c r="Z28" s="74"/>
      <c r="AA28" s="74"/>
      <c r="AB28" s="74"/>
      <c r="AC28" s="74"/>
      <c r="AD28" s="74"/>
      <c r="AE28" s="127"/>
      <c r="AF28" s="127"/>
      <c r="AG28" s="74"/>
      <c r="AH28" s="74"/>
      <c r="AI28" s="74"/>
      <c r="AJ28" s="74"/>
      <c r="AK28" s="74"/>
      <c r="AL28" s="74"/>
      <c r="AM28" s="74"/>
      <c r="AN28" s="119"/>
      <c r="AO28" s="119"/>
      <c r="AP28" s="119"/>
      <c r="AQ28" s="74"/>
      <c r="AR28" s="74"/>
      <c r="AS28" s="133"/>
      <c r="AT28" s="211">
        <f t="shared" si="1"/>
        <v>0</v>
      </c>
      <c r="AU28" s="119"/>
      <c r="AV28" s="119"/>
      <c r="AW28" s="119"/>
      <c r="AX28" s="119"/>
      <c r="AY28" s="74"/>
      <c r="AZ28" s="74"/>
      <c r="BA28" s="133"/>
      <c r="BB28" s="211"/>
      <c r="BC28" s="78"/>
      <c r="BD28" s="78"/>
      <c r="BE28" s="78"/>
      <c r="BF28" s="54"/>
      <c r="BG28" s="82"/>
      <c r="BH28" s="82"/>
      <c r="BI28" s="82"/>
      <c r="BJ28" s="212">
        <f t="shared" si="2"/>
        <v>0</v>
      </c>
      <c r="BK28" s="205"/>
      <c r="BL28" s="205"/>
    </row>
    <row r="29" spans="1:64">
      <c r="A29" s="1584"/>
      <c r="B29" s="220"/>
      <c r="C29" s="61"/>
      <c r="D29" s="61"/>
      <c r="E29" s="61"/>
      <c r="F29" s="220"/>
      <c r="G29" s="220"/>
      <c r="H29" s="61"/>
      <c r="I29" s="61"/>
      <c r="J29" s="61"/>
      <c r="K29" s="61">
        <f>'Dépenses BP 2017'!G29</f>
        <v>0</v>
      </c>
      <c r="L29" s="61"/>
      <c r="M29" s="61"/>
      <c r="N29" s="58"/>
      <c r="O29" s="69"/>
      <c r="P29" s="69"/>
      <c r="Q29" s="69"/>
      <c r="R29" s="69"/>
      <c r="S29" s="69"/>
      <c r="T29" s="69"/>
      <c r="U29" s="69"/>
      <c r="V29" s="69"/>
      <c r="W29" s="69"/>
      <c r="X29" s="211"/>
      <c r="Y29" s="74"/>
      <c r="Z29" s="74"/>
      <c r="AA29" s="74"/>
      <c r="AB29" s="74"/>
      <c r="AC29" s="74"/>
      <c r="AD29" s="74"/>
      <c r="AE29" s="127"/>
      <c r="AF29" s="127"/>
      <c r="AG29" s="74"/>
      <c r="AH29" s="74"/>
      <c r="AI29" s="74"/>
      <c r="AJ29" s="74"/>
      <c r="AK29" s="74"/>
      <c r="AL29" s="74"/>
      <c r="AM29" s="74"/>
      <c r="AN29" s="119"/>
      <c r="AO29" s="119"/>
      <c r="AP29" s="119"/>
      <c r="AQ29" s="74"/>
      <c r="AR29" s="74"/>
      <c r="AS29" s="133"/>
      <c r="AT29" s="211">
        <f t="shared" si="1"/>
        <v>0</v>
      </c>
      <c r="AU29" s="119"/>
      <c r="AV29" s="119"/>
      <c r="AW29" s="119"/>
      <c r="AX29" s="119"/>
      <c r="AY29" s="74"/>
      <c r="AZ29" s="74"/>
      <c r="BA29" s="133"/>
      <c r="BB29" s="211"/>
      <c r="BC29" s="78"/>
      <c r="BD29" s="78"/>
      <c r="BE29" s="78"/>
      <c r="BF29" s="54"/>
      <c r="BG29" s="82"/>
      <c r="BH29" s="82"/>
      <c r="BI29" s="82"/>
      <c r="BJ29" s="212">
        <f t="shared" si="2"/>
        <v>0</v>
      </c>
      <c r="BK29" s="205"/>
      <c r="BL29" s="205"/>
    </row>
    <row r="30" spans="1:64">
      <c r="A30" s="1584"/>
      <c r="B30" s="220"/>
      <c r="C30" s="61"/>
      <c r="D30" s="61"/>
      <c r="E30" s="61"/>
      <c r="F30" s="220"/>
      <c r="G30" s="220"/>
      <c r="H30" s="61"/>
      <c r="I30" s="61"/>
      <c r="J30" s="61"/>
      <c r="K30" s="61">
        <f>'Dépenses BP 2017'!G30</f>
        <v>0</v>
      </c>
      <c r="L30" s="61"/>
      <c r="M30" s="61"/>
      <c r="N30" s="58"/>
      <c r="O30" s="69"/>
      <c r="P30" s="69"/>
      <c r="Q30" s="69"/>
      <c r="R30" s="69"/>
      <c r="S30" s="69"/>
      <c r="T30" s="69"/>
      <c r="U30" s="69"/>
      <c r="V30" s="69"/>
      <c r="W30" s="69"/>
      <c r="X30" s="211"/>
      <c r="Y30" s="74"/>
      <c r="Z30" s="74"/>
      <c r="AA30" s="74"/>
      <c r="AB30" s="74"/>
      <c r="AC30" s="74"/>
      <c r="AD30" s="74"/>
      <c r="AE30" s="127"/>
      <c r="AF30" s="127"/>
      <c r="AG30" s="74"/>
      <c r="AH30" s="74"/>
      <c r="AI30" s="74"/>
      <c r="AJ30" s="74"/>
      <c r="AK30" s="74"/>
      <c r="AL30" s="74"/>
      <c r="AM30" s="74"/>
      <c r="AN30" s="119"/>
      <c r="AO30" s="119"/>
      <c r="AP30" s="119"/>
      <c r="AQ30" s="74"/>
      <c r="AR30" s="74"/>
      <c r="AS30" s="133"/>
      <c r="AT30" s="211">
        <f t="shared" si="1"/>
        <v>0</v>
      </c>
      <c r="AU30" s="119"/>
      <c r="AV30" s="119"/>
      <c r="AW30" s="119"/>
      <c r="AX30" s="119"/>
      <c r="AY30" s="74"/>
      <c r="AZ30" s="74"/>
      <c r="BA30" s="133"/>
      <c r="BB30" s="211"/>
      <c r="BC30" s="78"/>
      <c r="BD30" s="78"/>
      <c r="BE30" s="78"/>
      <c r="BF30" s="54"/>
      <c r="BG30" s="82"/>
      <c r="BH30" s="82"/>
      <c r="BI30" s="82"/>
      <c r="BJ30" s="212">
        <f t="shared" si="2"/>
        <v>0</v>
      </c>
      <c r="BK30" s="205"/>
      <c r="BL30" s="205"/>
    </row>
    <row r="31" spans="1:64">
      <c r="A31" s="1584" t="str">
        <f>'Dépenses BP 2017'!A31</f>
        <v>XX</v>
      </c>
      <c r="B31" s="220"/>
      <c r="C31" s="61"/>
      <c r="D31" s="61"/>
      <c r="E31" s="61"/>
      <c r="F31" s="220"/>
      <c r="G31" s="220"/>
      <c r="H31" s="61"/>
      <c r="I31" s="61"/>
      <c r="J31" s="61"/>
      <c r="K31" s="61">
        <f>'Dépenses BP 2017'!G31</f>
        <v>0</v>
      </c>
      <c r="L31" s="61"/>
      <c r="M31" s="61"/>
      <c r="N31" s="58"/>
      <c r="O31" s="69"/>
      <c r="P31" s="69"/>
      <c r="Q31" s="69"/>
      <c r="R31" s="69"/>
      <c r="S31" s="69"/>
      <c r="T31" s="69"/>
      <c r="U31" s="69"/>
      <c r="V31" s="69"/>
      <c r="W31" s="69"/>
      <c r="X31" s="211"/>
      <c r="Y31" s="74"/>
      <c r="Z31" s="74"/>
      <c r="AA31" s="74"/>
      <c r="AB31" s="74"/>
      <c r="AC31" s="74"/>
      <c r="AD31" s="74"/>
      <c r="AE31" s="127"/>
      <c r="AF31" s="127"/>
      <c r="AG31" s="74"/>
      <c r="AH31" s="74"/>
      <c r="AI31" s="74"/>
      <c r="AJ31" s="74"/>
      <c r="AK31" s="74"/>
      <c r="AL31" s="74"/>
      <c r="AM31" s="74"/>
      <c r="AN31" s="119"/>
      <c r="AO31" s="119"/>
      <c r="AP31" s="119"/>
      <c r="AQ31" s="74"/>
      <c r="AR31" s="74"/>
      <c r="AS31" s="133"/>
      <c r="AT31" s="211">
        <f t="shared" si="1"/>
        <v>0</v>
      </c>
      <c r="AU31" s="119"/>
      <c r="AV31" s="119"/>
      <c r="AW31" s="119"/>
      <c r="AX31" s="119"/>
      <c r="AY31" s="74"/>
      <c r="AZ31" s="74"/>
      <c r="BA31" s="133"/>
      <c r="BB31" s="211"/>
      <c r="BC31" s="78"/>
      <c r="BD31" s="78"/>
      <c r="BE31" s="78"/>
      <c r="BF31" s="54"/>
      <c r="BG31" s="82"/>
      <c r="BH31" s="82"/>
      <c r="BI31" s="82"/>
      <c r="BJ31" s="212">
        <f t="shared" si="2"/>
        <v>0</v>
      </c>
      <c r="BK31" s="205"/>
      <c r="BL31" s="205"/>
    </row>
    <row r="32" spans="1:64">
      <c r="A32" s="1584"/>
      <c r="B32" s="220"/>
      <c r="C32" s="61"/>
      <c r="D32" s="61"/>
      <c r="E32" s="61"/>
      <c r="F32" s="220"/>
      <c r="G32" s="220"/>
      <c r="H32" s="61"/>
      <c r="I32" s="61"/>
      <c r="J32" s="61"/>
      <c r="K32" s="61">
        <f>'Dépenses BP 2017'!G32</f>
        <v>0</v>
      </c>
      <c r="L32" s="61"/>
      <c r="M32" s="61"/>
      <c r="N32" s="58"/>
      <c r="O32" s="69"/>
      <c r="P32" s="69"/>
      <c r="Q32" s="69"/>
      <c r="R32" s="69"/>
      <c r="S32" s="69"/>
      <c r="T32" s="69"/>
      <c r="U32" s="69"/>
      <c r="V32" s="69"/>
      <c r="W32" s="69"/>
      <c r="X32" s="211"/>
      <c r="Y32" s="74"/>
      <c r="Z32" s="74"/>
      <c r="AA32" s="74"/>
      <c r="AB32" s="74"/>
      <c r="AC32" s="74"/>
      <c r="AD32" s="74"/>
      <c r="AE32" s="127"/>
      <c r="AF32" s="127"/>
      <c r="AG32" s="74"/>
      <c r="AH32" s="74"/>
      <c r="AI32" s="74"/>
      <c r="AJ32" s="74"/>
      <c r="AK32" s="74"/>
      <c r="AL32" s="74"/>
      <c r="AM32" s="74"/>
      <c r="AN32" s="119"/>
      <c r="AO32" s="119"/>
      <c r="AP32" s="119"/>
      <c r="AQ32" s="74"/>
      <c r="AR32" s="74"/>
      <c r="AS32" s="133"/>
      <c r="AT32" s="211">
        <f t="shared" si="1"/>
        <v>0</v>
      </c>
      <c r="AU32" s="119"/>
      <c r="AV32" s="119"/>
      <c r="AW32" s="119"/>
      <c r="AX32" s="119"/>
      <c r="AY32" s="74"/>
      <c r="AZ32" s="74"/>
      <c r="BA32" s="133"/>
      <c r="BB32" s="211"/>
      <c r="BC32" s="78"/>
      <c r="BD32" s="78"/>
      <c r="BE32" s="78"/>
      <c r="BF32" s="54"/>
      <c r="BG32" s="82"/>
      <c r="BH32" s="82"/>
      <c r="BI32" s="82"/>
      <c r="BJ32" s="212">
        <f t="shared" si="2"/>
        <v>0</v>
      </c>
      <c r="BK32" s="205"/>
      <c r="BL32" s="205"/>
    </row>
    <row r="33" spans="1:64">
      <c r="A33" s="1584"/>
      <c r="B33" s="220"/>
      <c r="C33" s="61"/>
      <c r="D33" s="61"/>
      <c r="E33" s="61"/>
      <c r="F33" s="220"/>
      <c r="G33" s="220"/>
      <c r="H33" s="61"/>
      <c r="I33" s="61"/>
      <c r="J33" s="61"/>
      <c r="K33" s="61">
        <f>'Dépenses BP 2017'!G33</f>
        <v>0</v>
      </c>
      <c r="L33" s="61"/>
      <c r="M33" s="61"/>
      <c r="N33" s="58"/>
      <c r="O33" s="69"/>
      <c r="P33" s="69"/>
      <c r="Q33" s="69"/>
      <c r="R33" s="69"/>
      <c r="S33" s="69"/>
      <c r="T33" s="69"/>
      <c r="U33" s="69"/>
      <c r="V33" s="69"/>
      <c r="W33" s="69"/>
      <c r="X33" s="211"/>
      <c r="Y33" s="74"/>
      <c r="Z33" s="74"/>
      <c r="AA33" s="74"/>
      <c r="AB33" s="74"/>
      <c r="AC33" s="74"/>
      <c r="AD33" s="74"/>
      <c r="AE33" s="127"/>
      <c r="AF33" s="127"/>
      <c r="AG33" s="74"/>
      <c r="AH33" s="74"/>
      <c r="AI33" s="74"/>
      <c r="AJ33" s="74"/>
      <c r="AK33" s="74"/>
      <c r="AL33" s="74"/>
      <c r="AM33" s="74"/>
      <c r="AN33" s="119"/>
      <c r="AO33" s="119"/>
      <c r="AP33" s="119"/>
      <c r="AQ33" s="74"/>
      <c r="AR33" s="74"/>
      <c r="AS33" s="133"/>
      <c r="AT33" s="211">
        <f t="shared" si="1"/>
        <v>0</v>
      </c>
      <c r="AU33" s="119"/>
      <c r="AV33" s="119"/>
      <c r="AW33" s="119"/>
      <c r="AX33" s="119"/>
      <c r="AY33" s="74"/>
      <c r="AZ33" s="74"/>
      <c r="BA33" s="133"/>
      <c r="BB33" s="211"/>
      <c r="BC33" s="78"/>
      <c r="BD33" s="78"/>
      <c r="BE33" s="78"/>
      <c r="BF33" s="54"/>
      <c r="BG33" s="82"/>
      <c r="BH33" s="82"/>
      <c r="BI33" s="82"/>
      <c r="BJ33" s="212">
        <f t="shared" si="2"/>
        <v>0</v>
      </c>
      <c r="BK33" s="205"/>
      <c r="BL33" s="205"/>
    </row>
    <row r="34" spans="1:64">
      <c r="A34" s="1584" t="str">
        <f>'Dépenses BP 2017'!A34</f>
        <v>XX</v>
      </c>
      <c r="B34" s="220"/>
      <c r="C34" s="61"/>
      <c r="D34" s="61"/>
      <c r="E34" s="61"/>
      <c r="F34" s="220"/>
      <c r="G34" s="220"/>
      <c r="H34" s="61"/>
      <c r="I34" s="61"/>
      <c r="J34" s="61"/>
      <c r="K34" s="61">
        <f>'Dépenses BP 2017'!G34</f>
        <v>0</v>
      </c>
      <c r="L34" s="61"/>
      <c r="M34" s="61"/>
      <c r="N34" s="58"/>
      <c r="O34" s="69"/>
      <c r="P34" s="69"/>
      <c r="Q34" s="69"/>
      <c r="R34" s="69"/>
      <c r="S34" s="69"/>
      <c r="T34" s="69"/>
      <c r="U34" s="69"/>
      <c r="V34" s="69"/>
      <c r="W34" s="69"/>
      <c r="X34" s="211"/>
      <c r="Y34" s="74"/>
      <c r="Z34" s="74"/>
      <c r="AA34" s="74"/>
      <c r="AB34" s="74"/>
      <c r="AC34" s="74">
        <f>(AQ34*AD34)/AS34</f>
        <v>0</v>
      </c>
      <c r="AD34" s="74">
        <f>AS34-AH34-AJ34-AL34-AN34-AP34</f>
        <v>0</v>
      </c>
      <c r="AE34" s="127"/>
      <c r="AF34" s="127"/>
      <c r="AG34" s="74"/>
      <c r="AH34" s="95"/>
      <c r="AI34" s="74"/>
      <c r="AJ34" s="74"/>
      <c r="AK34" s="74"/>
      <c r="AL34" s="74"/>
      <c r="AM34" s="74">
        <f>(AQ34*AN34)/AS34</f>
        <v>2071.5318176800001</v>
      </c>
      <c r="AN34" s="119">
        <v>0.05</v>
      </c>
      <c r="AO34" s="119"/>
      <c r="AP34" s="119"/>
      <c r="AQ34" s="74">
        <f>'Dépenses BP 2017'!N34</f>
        <v>2071.5318176800001</v>
      </c>
      <c r="AR34" s="74"/>
      <c r="AS34" s="133">
        <f>'Dépenses BP 2017'!P34</f>
        <v>0.05</v>
      </c>
      <c r="AT34" s="211">
        <f t="shared" si="1"/>
        <v>0</v>
      </c>
      <c r="AU34" s="119"/>
      <c r="AV34" s="119"/>
      <c r="AW34" s="119"/>
      <c r="AX34" s="119"/>
      <c r="AY34" s="74"/>
      <c r="AZ34" s="74"/>
      <c r="BA34" s="133"/>
      <c r="BB34" s="211"/>
      <c r="BC34" s="78"/>
      <c r="BD34" s="78"/>
      <c r="BE34" s="78"/>
      <c r="BF34" s="54"/>
      <c r="BG34" s="82">
        <f>'Dépenses BP 2017'!T34</f>
        <v>2071.5318176800001</v>
      </c>
      <c r="BH34" s="82"/>
      <c r="BI34" s="82">
        <f>'Dépenses BP 2017'!V34</f>
        <v>0</v>
      </c>
      <c r="BJ34" s="212">
        <f t="shared" si="2"/>
        <v>-0.05</v>
      </c>
      <c r="BK34" s="205">
        <f t="shared" si="3"/>
        <v>0.05</v>
      </c>
      <c r="BL34" s="205">
        <f>BI34-BK34</f>
        <v>-0.05</v>
      </c>
    </row>
    <row r="35" spans="1:64">
      <c r="A35" s="1584"/>
      <c r="B35" s="220"/>
      <c r="C35" s="61"/>
      <c r="D35" s="61"/>
      <c r="E35" s="61"/>
      <c r="F35" s="220"/>
      <c r="G35" s="220"/>
      <c r="H35" s="61"/>
      <c r="I35" s="61"/>
      <c r="J35" s="61"/>
      <c r="K35" s="61">
        <f>'Dépenses BP 2017'!G35</f>
        <v>0</v>
      </c>
      <c r="L35" s="61"/>
      <c r="M35" s="61"/>
      <c r="N35" s="58"/>
      <c r="O35" s="69"/>
      <c r="P35" s="69"/>
      <c r="Q35" s="69"/>
      <c r="R35" s="69"/>
      <c r="S35" s="69"/>
      <c r="T35" s="69"/>
      <c r="U35" s="69"/>
      <c r="V35" s="69"/>
      <c r="W35" s="69"/>
      <c r="X35" s="211"/>
      <c r="Y35" s="74"/>
      <c r="Z35" s="74"/>
      <c r="AA35" s="74"/>
      <c r="AB35" s="74"/>
      <c r="AC35" s="74">
        <f>(AQ35*AD34)/AS34</f>
        <v>0</v>
      </c>
      <c r="AD35" s="74"/>
      <c r="AE35" s="127"/>
      <c r="AF35" s="127"/>
      <c r="AG35" s="74"/>
      <c r="AH35" s="95"/>
      <c r="AI35" s="74"/>
      <c r="AJ35" s="74"/>
      <c r="AK35" s="74"/>
      <c r="AL35" s="74"/>
      <c r="AM35" s="74">
        <f>(AQ35*AN34)/AS34</f>
        <v>74.3235945387501</v>
      </c>
      <c r="AN35" s="119"/>
      <c r="AO35" s="119"/>
      <c r="AP35" s="119"/>
      <c r="AQ35" s="74">
        <f>'Dépenses BP 2017'!N35</f>
        <v>74.3235945387501</v>
      </c>
      <c r="AR35" s="74"/>
      <c r="AS35" s="133"/>
      <c r="AT35" s="211">
        <f t="shared" si="1"/>
        <v>0</v>
      </c>
      <c r="AU35" s="119"/>
      <c r="AV35" s="119"/>
      <c r="AW35" s="119"/>
      <c r="AX35" s="119"/>
      <c r="AY35" s="74"/>
      <c r="AZ35" s="74"/>
      <c r="BA35" s="133"/>
      <c r="BB35" s="211"/>
      <c r="BC35" s="78"/>
      <c r="BD35" s="78"/>
      <c r="BE35" s="78"/>
      <c r="BF35" s="54"/>
      <c r="BG35" s="82">
        <f>'Dépenses BP 2017'!T35</f>
        <v>74.3235945387501</v>
      </c>
      <c r="BH35" s="82"/>
      <c r="BI35" s="82"/>
      <c r="BJ35" s="212">
        <f t="shared" si="2"/>
        <v>0</v>
      </c>
      <c r="BK35" s="205"/>
      <c r="BL35" s="205"/>
    </row>
    <row r="36" spans="1:64">
      <c r="A36" s="1584"/>
      <c r="B36" s="220"/>
      <c r="C36" s="61"/>
      <c r="D36" s="61"/>
      <c r="E36" s="61"/>
      <c r="F36" s="220"/>
      <c r="G36" s="220"/>
      <c r="H36" s="61"/>
      <c r="I36" s="61"/>
      <c r="J36" s="61"/>
      <c r="K36" s="61">
        <f>'Dépenses BP 2017'!G36</f>
        <v>0</v>
      </c>
      <c r="L36" s="61"/>
      <c r="M36" s="61"/>
      <c r="N36" s="58"/>
      <c r="O36" s="69"/>
      <c r="P36" s="69"/>
      <c r="Q36" s="69"/>
      <c r="R36" s="69"/>
      <c r="S36" s="69"/>
      <c r="T36" s="69"/>
      <c r="U36" s="69"/>
      <c r="V36" s="69"/>
      <c r="W36" s="69"/>
      <c r="X36" s="211"/>
      <c r="Y36" s="74"/>
      <c r="Z36" s="74"/>
      <c r="AA36" s="74"/>
      <c r="AB36" s="74"/>
      <c r="AC36" s="74">
        <f>(AQ36*AD34)/AS34</f>
        <v>0</v>
      </c>
      <c r="AD36" s="74"/>
      <c r="AE36" s="127"/>
      <c r="AF36" s="127"/>
      <c r="AG36" s="74"/>
      <c r="AH36" s="95"/>
      <c r="AI36" s="74"/>
      <c r="AJ36" s="74"/>
      <c r="AK36" s="74"/>
      <c r="AL36" s="74"/>
      <c r="AM36" s="74">
        <f>(AQ36*AN34)/AS34</f>
        <v>39.451860000000003</v>
      </c>
      <c r="AN36" s="119"/>
      <c r="AO36" s="119"/>
      <c r="AP36" s="119"/>
      <c r="AQ36" s="74">
        <f>'Dépenses BP 2017'!N36</f>
        <v>39.451860000000003</v>
      </c>
      <c r="AR36" s="74"/>
      <c r="AS36" s="133"/>
      <c r="AT36" s="211">
        <f t="shared" si="1"/>
        <v>0</v>
      </c>
      <c r="AU36" s="119"/>
      <c r="AV36" s="119"/>
      <c r="AW36" s="119"/>
      <c r="AX36" s="119"/>
      <c r="AY36" s="74"/>
      <c r="AZ36" s="74"/>
      <c r="BA36" s="133"/>
      <c r="BB36" s="211"/>
      <c r="BC36" s="78"/>
      <c r="BD36" s="78"/>
      <c r="BE36" s="78"/>
      <c r="BF36" s="54"/>
      <c r="BG36" s="82">
        <f>'Dépenses BP 2017'!T36</f>
        <v>39.451860000000003</v>
      </c>
      <c r="BH36" s="82"/>
      <c r="BI36" s="82"/>
      <c r="BJ36" s="212">
        <f t="shared" si="2"/>
        <v>0</v>
      </c>
      <c r="BK36" s="205"/>
      <c r="BL36" s="205"/>
    </row>
    <row r="37" spans="1:64">
      <c r="A37" s="1584" t="str">
        <f>'Dépenses BP 2017'!A37</f>
        <v>XX</v>
      </c>
      <c r="B37" s="220"/>
      <c r="C37" s="61"/>
      <c r="D37" s="61"/>
      <c r="E37" s="61"/>
      <c r="F37" s="220"/>
      <c r="G37" s="220"/>
      <c r="H37" s="61"/>
      <c r="I37" s="61"/>
      <c r="J37" s="61"/>
      <c r="K37" s="61">
        <f>'Dépenses BP 2017'!G37</f>
        <v>0</v>
      </c>
      <c r="L37" s="61"/>
      <c r="M37" s="61"/>
      <c r="N37" s="58"/>
      <c r="O37" s="69"/>
      <c r="P37" s="69"/>
      <c r="Q37" s="69"/>
      <c r="R37" s="69"/>
      <c r="S37" s="69"/>
      <c r="T37" s="69"/>
      <c r="U37" s="69"/>
      <c r="V37" s="69"/>
      <c r="W37" s="69"/>
      <c r="X37" s="211"/>
      <c r="Y37" s="74"/>
      <c r="Z37" s="74"/>
      <c r="AA37" s="74"/>
      <c r="AB37" s="74"/>
      <c r="AC37" s="74">
        <f>(AQ37*AD37)/AS37</f>
        <v>4676.1113877327989</v>
      </c>
      <c r="AD37" s="74">
        <f>AS37-AH37-AJ37-AL37-AN37-AP37</f>
        <v>0.11299999999999999</v>
      </c>
      <c r="AE37" s="127"/>
      <c r="AF37" s="127"/>
      <c r="AG37" s="74"/>
      <c r="AH37" s="74"/>
      <c r="AI37" s="74"/>
      <c r="AJ37" s="74"/>
      <c r="AK37" s="74"/>
      <c r="AL37" s="74"/>
      <c r="AM37" s="74">
        <f>(AQ37*AN37)/AS37</f>
        <v>1655.2606682239996</v>
      </c>
      <c r="AN37" s="119">
        <v>0.04</v>
      </c>
      <c r="AO37" s="119"/>
      <c r="AP37" s="119"/>
      <c r="AQ37" s="74">
        <f>'Dépenses BP 2017'!N37</f>
        <v>6331.3720559567982</v>
      </c>
      <c r="AR37" s="74"/>
      <c r="AS37" s="133">
        <f>'Dépenses BP 2017'!P37</f>
        <v>0.153</v>
      </c>
      <c r="AT37" s="211">
        <f t="shared" si="1"/>
        <v>0</v>
      </c>
      <c r="AU37" s="119"/>
      <c r="AV37" s="119"/>
      <c r="AW37" s="119"/>
      <c r="AX37" s="119"/>
      <c r="AY37" s="74"/>
      <c r="AZ37" s="74"/>
      <c r="BA37" s="133"/>
      <c r="BB37" s="211"/>
      <c r="BC37" s="78"/>
      <c r="BD37" s="78"/>
      <c r="BE37" s="78"/>
      <c r="BF37" s="54"/>
      <c r="BG37" s="82">
        <f>'Dépenses BP 2017'!T37</f>
        <v>6331.3720559567982</v>
      </c>
      <c r="BH37" s="82"/>
      <c r="BI37" s="82">
        <f>'Dépenses BP 2017'!V37</f>
        <v>0</v>
      </c>
      <c r="BJ37" s="212">
        <f t="shared" si="2"/>
        <v>-0.153</v>
      </c>
      <c r="BK37" s="205">
        <f t="shared" si="3"/>
        <v>0.153</v>
      </c>
      <c r="BL37" s="205">
        <f>BI37-BK37</f>
        <v>-0.153</v>
      </c>
    </row>
    <row r="38" spans="1:64">
      <c r="A38" s="1584"/>
      <c r="B38" s="220"/>
      <c r="C38" s="61"/>
      <c r="D38" s="61"/>
      <c r="E38" s="61"/>
      <c r="F38" s="220"/>
      <c r="G38" s="220"/>
      <c r="H38" s="61"/>
      <c r="I38" s="61"/>
      <c r="J38" s="61"/>
      <c r="K38" s="61">
        <f>'Dépenses BP 2017'!G38</f>
        <v>0</v>
      </c>
      <c r="L38" s="61"/>
      <c r="M38" s="61"/>
      <c r="N38" s="58"/>
      <c r="O38" s="69"/>
      <c r="P38" s="69"/>
      <c r="Q38" s="69"/>
      <c r="R38" s="69"/>
      <c r="S38" s="69"/>
      <c r="T38" s="69"/>
      <c r="U38" s="69"/>
      <c r="V38" s="69"/>
      <c r="W38" s="69"/>
      <c r="X38" s="211"/>
      <c r="Y38" s="74"/>
      <c r="Z38" s="74"/>
      <c r="AA38" s="74"/>
      <c r="AB38" s="74"/>
      <c r="AC38" s="74">
        <f>(AQ38*AD37)/AS37</f>
        <v>173.48687889851001</v>
      </c>
      <c r="AD38" s="74"/>
      <c r="AE38" s="127"/>
      <c r="AF38" s="127"/>
      <c r="AG38" s="74"/>
      <c r="AH38" s="74"/>
      <c r="AI38" s="74"/>
      <c r="AJ38" s="74"/>
      <c r="AK38" s="74"/>
      <c r="AL38" s="74"/>
      <c r="AM38" s="74">
        <f>(AQ38*AN37)/AS37</f>
        <v>61.411284565844255</v>
      </c>
      <c r="AN38" s="119"/>
      <c r="AO38" s="119"/>
      <c r="AP38" s="119"/>
      <c r="AQ38" s="74">
        <f>'Dépenses BP 2017'!N38</f>
        <v>234.8981634643543</v>
      </c>
      <c r="AR38" s="74"/>
      <c r="AS38" s="133"/>
      <c r="AT38" s="211">
        <f t="shared" si="1"/>
        <v>0</v>
      </c>
      <c r="AU38" s="119"/>
      <c r="AV38" s="119"/>
      <c r="AW38" s="119"/>
      <c r="AX38" s="119"/>
      <c r="AY38" s="74"/>
      <c r="AZ38" s="74"/>
      <c r="BA38" s="133"/>
      <c r="BB38" s="211"/>
      <c r="BC38" s="78"/>
      <c r="BD38" s="78"/>
      <c r="BE38" s="78"/>
      <c r="BF38" s="54"/>
      <c r="BG38" s="82">
        <f>'Dépenses BP 2017'!T38</f>
        <v>234.8981634643543</v>
      </c>
      <c r="BH38" s="82"/>
      <c r="BI38" s="82"/>
      <c r="BJ38" s="212">
        <f t="shared" si="2"/>
        <v>0</v>
      </c>
      <c r="BK38" s="205"/>
      <c r="BL38" s="205"/>
    </row>
    <row r="39" spans="1:64">
      <c r="A39" s="1584"/>
      <c r="B39" s="220"/>
      <c r="C39" s="61"/>
      <c r="D39" s="61"/>
      <c r="E39" s="61"/>
      <c r="F39" s="220"/>
      <c r="G39" s="220"/>
      <c r="H39" s="61"/>
      <c r="I39" s="61"/>
      <c r="J39" s="61"/>
      <c r="K39" s="61">
        <f>'Dépenses BP 2017'!G39</f>
        <v>0</v>
      </c>
      <c r="L39" s="61"/>
      <c r="M39" s="61"/>
      <c r="N39" s="58"/>
      <c r="O39" s="69"/>
      <c r="P39" s="69"/>
      <c r="Q39" s="69"/>
      <c r="R39" s="69"/>
      <c r="S39" s="69"/>
      <c r="T39" s="69"/>
      <c r="U39" s="69"/>
      <c r="V39" s="69"/>
      <c r="W39" s="69"/>
      <c r="X39" s="211"/>
      <c r="Y39" s="74"/>
      <c r="Z39" s="74"/>
      <c r="AA39" s="74"/>
      <c r="AB39" s="74"/>
      <c r="AC39" s="74">
        <f>(AQ39*AD37)/AS37</f>
        <v>90.845355599999976</v>
      </c>
      <c r="AD39" s="74"/>
      <c r="AE39" s="127"/>
      <c r="AF39" s="127"/>
      <c r="AG39" s="74"/>
      <c r="AH39" s="74"/>
      <c r="AI39" s="74"/>
      <c r="AJ39" s="74"/>
      <c r="AK39" s="74"/>
      <c r="AL39" s="74"/>
      <c r="AM39" s="74">
        <f>(AQ39*AN37)/AS37</f>
        <v>32.157647999999995</v>
      </c>
      <c r="AN39" s="119"/>
      <c r="AO39" s="119"/>
      <c r="AP39" s="119"/>
      <c r="AQ39" s="74">
        <f>'Dépenses BP 2017'!N39</f>
        <v>123.00300359999997</v>
      </c>
      <c r="AR39" s="74"/>
      <c r="AS39" s="133"/>
      <c r="AT39" s="211">
        <f t="shared" si="1"/>
        <v>0</v>
      </c>
      <c r="AU39" s="119"/>
      <c r="AV39" s="119"/>
      <c r="AW39" s="119"/>
      <c r="AX39" s="119"/>
      <c r="AY39" s="74"/>
      <c r="AZ39" s="74"/>
      <c r="BA39" s="133"/>
      <c r="BB39" s="211"/>
      <c r="BC39" s="78"/>
      <c r="BD39" s="78"/>
      <c r="BE39" s="78"/>
      <c r="BF39" s="54"/>
      <c r="BG39" s="82">
        <f>'Dépenses BP 2017'!T39</f>
        <v>123.00300359999997</v>
      </c>
      <c r="BH39" s="82"/>
      <c r="BI39" s="82"/>
      <c r="BJ39" s="212">
        <f t="shared" si="2"/>
        <v>0</v>
      </c>
      <c r="BK39" s="205"/>
      <c r="BL39" s="205"/>
    </row>
    <row r="40" spans="1:64">
      <c r="A40" s="1584" t="str">
        <f>'Dépenses BP 2017'!A40</f>
        <v>XX</v>
      </c>
      <c r="B40" s="220"/>
      <c r="C40" s="61"/>
      <c r="D40" s="61"/>
      <c r="E40" s="61"/>
      <c r="F40" s="220"/>
      <c r="G40" s="220"/>
      <c r="H40" s="61"/>
      <c r="I40" s="61"/>
      <c r="J40" s="61"/>
      <c r="K40" s="61">
        <f>'Dépenses BP 2017'!G40</f>
        <v>0</v>
      </c>
      <c r="L40" s="61"/>
      <c r="M40" s="61"/>
      <c r="N40" s="58"/>
      <c r="O40" s="69"/>
      <c r="P40" s="69"/>
      <c r="Q40" s="69"/>
      <c r="R40" s="69"/>
      <c r="S40" s="69"/>
      <c r="T40" s="69"/>
      <c r="U40" s="69"/>
      <c r="V40" s="69"/>
      <c r="W40" s="69"/>
      <c r="X40" s="211"/>
      <c r="Y40" s="74"/>
      <c r="Z40" s="74"/>
      <c r="AA40" s="74"/>
      <c r="AB40" s="74"/>
      <c r="AC40" s="74"/>
      <c r="AD40" s="74"/>
      <c r="AE40" s="126"/>
      <c r="AF40" s="126"/>
      <c r="AG40" s="74"/>
      <c r="AH40" s="74"/>
      <c r="AI40" s="74"/>
      <c r="AJ40" s="74"/>
      <c r="AK40" s="74"/>
      <c r="AL40" s="74"/>
      <c r="AM40" s="74"/>
      <c r="AN40" s="119"/>
      <c r="AO40" s="119"/>
      <c r="AP40" s="119"/>
      <c r="AQ40" s="74"/>
      <c r="AR40" s="74"/>
      <c r="AS40" s="133"/>
      <c r="AT40" s="211">
        <f t="shared" si="1"/>
        <v>0</v>
      </c>
      <c r="AU40" s="119"/>
      <c r="AV40" s="119"/>
      <c r="AW40" s="119"/>
      <c r="AX40" s="119"/>
      <c r="AY40" s="74"/>
      <c r="AZ40" s="74"/>
      <c r="BA40" s="133"/>
      <c r="BB40" s="211"/>
      <c r="BC40" s="78"/>
      <c r="BD40" s="78"/>
      <c r="BE40" s="78"/>
      <c r="BF40" s="54"/>
      <c r="BG40" s="82"/>
      <c r="BH40" s="82"/>
      <c r="BI40" s="82"/>
      <c r="BJ40" s="212">
        <f t="shared" si="2"/>
        <v>0</v>
      </c>
      <c r="BK40" s="205"/>
      <c r="BL40" s="205"/>
    </row>
    <row r="41" spans="1:64">
      <c r="A41" s="1584"/>
      <c r="B41" s="220"/>
      <c r="C41" s="61"/>
      <c r="D41" s="61"/>
      <c r="E41" s="61"/>
      <c r="F41" s="220"/>
      <c r="G41" s="220"/>
      <c r="H41" s="61"/>
      <c r="I41" s="61"/>
      <c r="J41" s="61"/>
      <c r="K41" s="61">
        <f>'Dépenses BP 2017'!G41</f>
        <v>0</v>
      </c>
      <c r="L41" s="61"/>
      <c r="M41" s="61"/>
      <c r="N41" s="58"/>
      <c r="O41" s="69"/>
      <c r="P41" s="69"/>
      <c r="Q41" s="69"/>
      <c r="R41" s="69"/>
      <c r="S41" s="69"/>
      <c r="T41" s="69"/>
      <c r="U41" s="69"/>
      <c r="V41" s="69"/>
      <c r="W41" s="69"/>
      <c r="X41" s="211"/>
      <c r="Y41" s="74"/>
      <c r="Z41" s="74"/>
      <c r="AA41" s="74"/>
      <c r="AB41" s="74"/>
      <c r="AC41" s="74"/>
      <c r="AD41" s="74"/>
      <c r="AE41" s="126"/>
      <c r="AF41" s="126"/>
      <c r="AG41" s="74"/>
      <c r="AH41" s="74"/>
      <c r="AI41" s="74"/>
      <c r="AJ41" s="74"/>
      <c r="AK41" s="74"/>
      <c r="AL41" s="74"/>
      <c r="AM41" s="74"/>
      <c r="AN41" s="119"/>
      <c r="AO41" s="119"/>
      <c r="AP41" s="119"/>
      <c r="AQ41" s="74"/>
      <c r="AR41" s="74"/>
      <c r="AS41" s="133"/>
      <c r="AT41" s="211">
        <f t="shared" si="1"/>
        <v>0</v>
      </c>
      <c r="AU41" s="119"/>
      <c r="AV41" s="119"/>
      <c r="AW41" s="119"/>
      <c r="AX41" s="119"/>
      <c r="AY41" s="74"/>
      <c r="AZ41" s="74"/>
      <c r="BA41" s="133"/>
      <c r="BB41" s="211"/>
      <c r="BC41" s="78"/>
      <c r="BD41" s="78"/>
      <c r="BE41" s="78"/>
      <c r="BF41" s="54"/>
      <c r="BG41" s="82"/>
      <c r="BH41" s="82"/>
      <c r="BI41" s="82"/>
      <c r="BJ41" s="212">
        <f t="shared" si="2"/>
        <v>0</v>
      </c>
      <c r="BK41" s="205"/>
      <c r="BL41" s="205"/>
    </row>
    <row r="42" spans="1:64">
      <c r="A42" s="1584"/>
      <c r="B42" s="220"/>
      <c r="C42" s="61"/>
      <c r="D42" s="61"/>
      <c r="E42" s="61"/>
      <c r="F42" s="220"/>
      <c r="G42" s="220"/>
      <c r="H42" s="61"/>
      <c r="I42" s="61"/>
      <c r="J42" s="61"/>
      <c r="K42" s="61">
        <f>'Dépenses BP 2017'!G42</f>
        <v>0</v>
      </c>
      <c r="L42" s="61"/>
      <c r="M42" s="61"/>
      <c r="N42" s="58"/>
      <c r="O42" s="69"/>
      <c r="P42" s="69"/>
      <c r="Q42" s="69"/>
      <c r="R42" s="69"/>
      <c r="S42" s="69"/>
      <c r="T42" s="69"/>
      <c r="U42" s="69"/>
      <c r="V42" s="69"/>
      <c r="W42" s="69"/>
      <c r="X42" s="211"/>
      <c r="Y42" s="74"/>
      <c r="Z42" s="74"/>
      <c r="AA42" s="74"/>
      <c r="AB42" s="74"/>
      <c r="AC42" s="74"/>
      <c r="AD42" s="74"/>
      <c r="AE42" s="126"/>
      <c r="AF42" s="126"/>
      <c r="AG42" s="74"/>
      <c r="AH42" s="74"/>
      <c r="AI42" s="74"/>
      <c r="AJ42" s="74"/>
      <c r="AK42" s="74"/>
      <c r="AL42" s="74"/>
      <c r="AM42" s="74"/>
      <c r="AN42" s="119"/>
      <c r="AO42" s="119"/>
      <c r="AP42" s="119"/>
      <c r="AQ42" s="74"/>
      <c r="AR42" s="74"/>
      <c r="AS42" s="133"/>
      <c r="AT42" s="211">
        <f t="shared" si="1"/>
        <v>0</v>
      </c>
      <c r="AU42" s="119"/>
      <c r="AV42" s="119"/>
      <c r="AW42" s="119"/>
      <c r="AX42" s="119"/>
      <c r="AY42" s="74"/>
      <c r="AZ42" s="74"/>
      <c r="BA42" s="133"/>
      <c r="BB42" s="211"/>
      <c r="BC42" s="78"/>
      <c r="BD42" s="78"/>
      <c r="BE42" s="78"/>
      <c r="BF42" s="54"/>
      <c r="BG42" s="82"/>
      <c r="BH42" s="82"/>
      <c r="BI42" s="82"/>
      <c r="BJ42" s="212">
        <f t="shared" si="2"/>
        <v>0</v>
      </c>
      <c r="BK42" s="205"/>
      <c r="BL42" s="205"/>
    </row>
    <row r="43" spans="1:64">
      <c r="A43" s="1584" t="str">
        <f>'Dépenses BP 2017'!A43</f>
        <v>XX</v>
      </c>
      <c r="B43" s="220"/>
      <c r="C43" s="61"/>
      <c r="D43" s="61"/>
      <c r="E43" s="61"/>
      <c r="F43" s="220"/>
      <c r="G43" s="220"/>
      <c r="H43" s="61"/>
      <c r="I43" s="61"/>
      <c r="J43" s="61"/>
      <c r="K43" s="61"/>
      <c r="L43" s="61"/>
      <c r="M43" s="61"/>
      <c r="N43" s="58"/>
      <c r="O43" s="69"/>
      <c r="P43" s="69"/>
      <c r="Q43" s="69"/>
      <c r="R43" s="69"/>
      <c r="S43" s="69"/>
      <c r="T43" s="69"/>
      <c r="U43" s="69"/>
      <c r="V43" s="69"/>
      <c r="W43" s="69"/>
      <c r="X43" s="211"/>
      <c r="Y43" s="74"/>
      <c r="Z43" s="74"/>
      <c r="AA43" s="74"/>
      <c r="AB43" s="74"/>
      <c r="AC43" s="74"/>
      <c r="AD43" s="74"/>
      <c r="AE43" s="126"/>
      <c r="AF43" s="126"/>
      <c r="AG43" s="74"/>
      <c r="AH43" s="74"/>
      <c r="AI43" s="74"/>
      <c r="AJ43" s="74"/>
      <c r="AK43" s="74"/>
      <c r="AL43" s="74"/>
      <c r="AM43" s="74"/>
      <c r="AN43" s="119"/>
      <c r="AO43" s="119"/>
      <c r="AP43" s="119"/>
      <c r="AQ43" s="74"/>
      <c r="AR43" s="74"/>
      <c r="AS43" s="133"/>
      <c r="AT43" s="211">
        <f t="shared" si="1"/>
        <v>0</v>
      </c>
      <c r="AU43" s="119"/>
      <c r="AV43" s="119"/>
      <c r="AW43" s="119"/>
      <c r="AX43" s="119"/>
      <c r="AY43" s="74"/>
      <c r="AZ43" s="74"/>
      <c r="BA43" s="133"/>
      <c r="BB43" s="211"/>
      <c r="BC43" s="78"/>
      <c r="BD43" s="78"/>
      <c r="BE43" s="78"/>
      <c r="BF43" s="54"/>
      <c r="BG43" s="82"/>
      <c r="BH43" s="82"/>
      <c r="BI43" s="82"/>
      <c r="BJ43" s="212">
        <f t="shared" si="2"/>
        <v>0</v>
      </c>
      <c r="BK43" s="205"/>
      <c r="BL43" s="205"/>
    </row>
    <row r="44" spans="1:64">
      <c r="A44" s="1584"/>
      <c r="B44" s="220"/>
      <c r="C44" s="61"/>
      <c r="D44" s="61"/>
      <c r="E44" s="61"/>
      <c r="F44" s="220"/>
      <c r="G44" s="220"/>
      <c r="H44" s="61"/>
      <c r="I44" s="61"/>
      <c r="J44" s="61"/>
      <c r="K44" s="61"/>
      <c r="L44" s="61"/>
      <c r="M44" s="61"/>
      <c r="N44" s="58"/>
      <c r="O44" s="69"/>
      <c r="P44" s="69"/>
      <c r="Q44" s="69"/>
      <c r="R44" s="69"/>
      <c r="S44" s="69"/>
      <c r="T44" s="69"/>
      <c r="U44" s="69"/>
      <c r="V44" s="69"/>
      <c r="W44" s="69"/>
      <c r="X44" s="211"/>
      <c r="Y44" s="74"/>
      <c r="Z44" s="74"/>
      <c r="AA44" s="74"/>
      <c r="AB44" s="74"/>
      <c r="AC44" s="74"/>
      <c r="AD44" s="74"/>
      <c r="AE44" s="126"/>
      <c r="AF44" s="126"/>
      <c r="AG44" s="74"/>
      <c r="AH44" s="74"/>
      <c r="AI44" s="74"/>
      <c r="AJ44" s="74"/>
      <c r="AK44" s="74"/>
      <c r="AL44" s="74"/>
      <c r="AM44" s="74"/>
      <c r="AN44" s="119"/>
      <c r="AO44" s="119"/>
      <c r="AP44" s="119"/>
      <c r="AQ44" s="74"/>
      <c r="AR44" s="74"/>
      <c r="AS44" s="133"/>
      <c r="AT44" s="211">
        <f t="shared" si="1"/>
        <v>0</v>
      </c>
      <c r="AU44" s="119"/>
      <c r="AV44" s="119"/>
      <c r="AW44" s="119"/>
      <c r="AX44" s="119"/>
      <c r="AY44" s="74"/>
      <c r="AZ44" s="74"/>
      <c r="BA44" s="133"/>
      <c r="BB44" s="211"/>
      <c r="BC44" s="78"/>
      <c r="BD44" s="78"/>
      <c r="BE44" s="78"/>
      <c r="BF44" s="54"/>
      <c r="BG44" s="82"/>
      <c r="BH44" s="82"/>
      <c r="BI44" s="82"/>
      <c r="BJ44" s="212">
        <f t="shared" si="2"/>
        <v>0</v>
      </c>
      <c r="BK44" s="205"/>
      <c r="BL44" s="205"/>
    </row>
    <row r="45" spans="1:64">
      <c r="A45" s="1584"/>
      <c r="B45" s="220"/>
      <c r="C45" s="61"/>
      <c r="D45" s="61"/>
      <c r="E45" s="61"/>
      <c r="F45" s="220"/>
      <c r="G45" s="220"/>
      <c r="H45" s="61"/>
      <c r="I45" s="61"/>
      <c r="J45" s="61"/>
      <c r="K45" s="61"/>
      <c r="L45" s="61"/>
      <c r="M45" s="61"/>
      <c r="N45" s="58"/>
      <c r="O45" s="69"/>
      <c r="P45" s="69"/>
      <c r="Q45" s="69"/>
      <c r="R45" s="69"/>
      <c r="S45" s="69"/>
      <c r="T45" s="69"/>
      <c r="U45" s="69"/>
      <c r="V45" s="69"/>
      <c r="W45" s="69"/>
      <c r="X45" s="211"/>
      <c r="Y45" s="74"/>
      <c r="Z45" s="74"/>
      <c r="AA45" s="74"/>
      <c r="AB45" s="74"/>
      <c r="AC45" s="74"/>
      <c r="AD45" s="74"/>
      <c r="AE45" s="126"/>
      <c r="AF45" s="126"/>
      <c r="AG45" s="74"/>
      <c r="AH45" s="74"/>
      <c r="AI45" s="74"/>
      <c r="AJ45" s="74"/>
      <c r="AK45" s="74"/>
      <c r="AL45" s="74"/>
      <c r="AM45" s="74"/>
      <c r="AN45" s="119"/>
      <c r="AO45" s="119"/>
      <c r="AP45" s="119"/>
      <c r="AQ45" s="74"/>
      <c r="AR45" s="74"/>
      <c r="AS45" s="133"/>
      <c r="AT45" s="211">
        <f t="shared" si="1"/>
        <v>0</v>
      </c>
      <c r="AU45" s="119"/>
      <c r="AV45" s="119"/>
      <c r="AW45" s="119"/>
      <c r="AX45" s="119"/>
      <c r="AY45" s="74"/>
      <c r="AZ45" s="74"/>
      <c r="BA45" s="133"/>
      <c r="BB45" s="211"/>
      <c r="BC45" s="78"/>
      <c r="BD45" s="78"/>
      <c r="BE45" s="78"/>
      <c r="BF45" s="54"/>
      <c r="BG45" s="82"/>
      <c r="BH45" s="82"/>
      <c r="BI45" s="82"/>
      <c r="BJ45" s="212">
        <f t="shared" si="2"/>
        <v>0</v>
      </c>
      <c r="BK45" s="205"/>
      <c r="BL45" s="205"/>
    </row>
    <row r="46" spans="1:64">
      <c r="A46" s="1584" t="str">
        <f>'Dépenses BP 2017'!A46</f>
        <v>XX</v>
      </c>
      <c r="B46" s="220"/>
      <c r="C46" s="61"/>
      <c r="D46" s="61"/>
      <c r="E46" s="61"/>
      <c r="F46" s="220"/>
      <c r="G46" s="220"/>
      <c r="H46" s="61"/>
      <c r="I46" s="61"/>
      <c r="J46" s="61"/>
      <c r="K46" s="61"/>
      <c r="L46" s="61"/>
      <c r="M46" s="61"/>
      <c r="N46" s="58"/>
      <c r="O46" s="69"/>
      <c r="P46" s="69"/>
      <c r="Q46" s="69"/>
      <c r="R46" s="69"/>
      <c r="S46" s="69"/>
      <c r="T46" s="69"/>
      <c r="U46" s="69"/>
      <c r="V46" s="69"/>
      <c r="W46" s="69"/>
      <c r="X46" s="211"/>
      <c r="Y46" s="74"/>
      <c r="Z46" s="74"/>
      <c r="AA46" s="74"/>
      <c r="AB46" s="74"/>
      <c r="AC46" s="74"/>
      <c r="AD46" s="74"/>
      <c r="AE46" s="126"/>
      <c r="AF46" s="126"/>
      <c r="AG46" s="74"/>
      <c r="AH46" s="74"/>
      <c r="AI46" s="74"/>
      <c r="AJ46" s="74"/>
      <c r="AK46" s="74"/>
      <c r="AL46" s="74"/>
      <c r="AM46" s="74"/>
      <c r="AN46" s="119"/>
      <c r="AO46" s="119"/>
      <c r="AP46" s="119"/>
      <c r="AQ46" s="74"/>
      <c r="AR46" s="74"/>
      <c r="AS46" s="133"/>
      <c r="AT46" s="211">
        <f t="shared" si="1"/>
        <v>0</v>
      </c>
      <c r="AU46" s="119"/>
      <c r="AV46" s="119"/>
      <c r="AW46" s="119"/>
      <c r="AX46" s="119"/>
      <c r="AY46" s="74"/>
      <c r="AZ46" s="74"/>
      <c r="BA46" s="133"/>
      <c r="BB46" s="211"/>
      <c r="BC46" s="78"/>
      <c r="BD46" s="78"/>
      <c r="BE46" s="78"/>
      <c r="BF46" s="54"/>
      <c r="BG46" s="82"/>
      <c r="BH46" s="82"/>
      <c r="BI46" s="82"/>
      <c r="BJ46" s="212">
        <f t="shared" si="2"/>
        <v>0</v>
      </c>
      <c r="BK46" s="205"/>
      <c r="BL46" s="205"/>
    </row>
    <row r="47" spans="1:64">
      <c r="A47" s="1584"/>
      <c r="B47" s="220"/>
      <c r="C47" s="61"/>
      <c r="D47" s="61"/>
      <c r="E47" s="61"/>
      <c r="F47" s="220"/>
      <c r="G47" s="220"/>
      <c r="H47" s="61"/>
      <c r="I47" s="61"/>
      <c r="J47" s="61"/>
      <c r="K47" s="61"/>
      <c r="L47" s="61"/>
      <c r="M47" s="61"/>
      <c r="N47" s="58"/>
      <c r="O47" s="69"/>
      <c r="P47" s="69"/>
      <c r="Q47" s="69"/>
      <c r="R47" s="69"/>
      <c r="S47" s="69"/>
      <c r="T47" s="69"/>
      <c r="U47" s="69"/>
      <c r="V47" s="69"/>
      <c r="W47" s="69"/>
      <c r="X47" s="211"/>
      <c r="Y47" s="74"/>
      <c r="Z47" s="74"/>
      <c r="AA47" s="74"/>
      <c r="AB47" s="74"/>
      <c r="AC47" s="74"/>
      <c r="AD47" s="74"/>
      <c r="AE47" s="126"/>
      <c r="AF47" s="126"/>
      <c r="AG47" s="74"/>
      <c r="AH47" s="74"/>
      <c r="AI47" s="74"/>
      <c r="AJ47" s="74"/>
      <c r="AK47" s="74"/>
      <c r="AL47" s="74"/>
      <c r="AM47" s="74"/>
      <c r="AN47" s="119"/>
      <c r="AO47" s="119"/>
      <c r="AP47" s="119"/>
      <c r="AQ47" s="74"/>
      <c r="AR47" s="74"/>
      <c r="AS47" s="133"/>
      <c r="AT47" s="211">
        <f t="shared" si="1"/>
        <v>0</v>
      </c>
      <c r="AU47" s="119"/>
      <c r="AV47" s="119"/>
      <c r="AW47" s="119"/>
      <c r="AX47" s="119"/>
      <c r="AY47" s="74"/>
      <c r="AZ47" s="74"/>
      <c r="BA47" s="133"/>
      <c r="BB47" s="211"/>
      <c r="BC47" s="78"/>
      <c r="BD47" s="78"/>
      <c r="BE47" s="78"/>
      <c r="BF47" s="54"/>
      <c r="BG47" s="82"/>
      <c r="BH47" s="82"/>
      <c r="BI47" s="82"/>
      <c r="BJ47" s="212">
        <f t="shared" si="2"/>
        <v>0</v>
      </c>
      <c r="BK47" s="205"/>
      <c r="BL47" s="205"/>
    </row>
    <row r="48" spans="1:64">
      <c r="A48" s="1584"/>
      <c r="B48" s="220"/>
      <c r="C48" s="61"/>
      <c r="D48" s="61"/>
      <c r="E48" s="61"/>
      <c r="F48" s="220"/>
      <c r="G48" s="220"/>
      <c r="H48" s="61"/>
      <c r="I48" s="61"/>
      <c r="J48" s="61"/>
      <c r="K48" s="61"/>
      <c r="L48" s="61"/>
      <c r="M48" s="61"/>
      <c r="N48" s="58"/>
      <c r="O48" s="69"/>
      <c r="P48" s="69"/>
      <c r="Q48" s="69"/>
      <c r="R48" s="69"/>
      <c r="S48" s="69"/>
      <c r="T48" s="69"/>
      <c r="U48" s="69"/>
      <c r="V48" s="69"/>
      <c r="W48" s="69"/>
      <c r="X48" s="211"/>
      <c r="Y48" s="74"/>
      <c r="Z48" s="74"/>
      <c r="AA48" s="74"/>
      <c r="AB48" s="74"/>
      <c r="AC48" s="74"/>
      <c r="AD48" s="74"/>
      <c r="AE48" s="126"/>
      <c r="AF48" s="126"/>
      <c r="AG48" s="74"/>
      <c r="AH48" s="74"/>
      <c r="AI48" s="74"/>
      <c r="AJ48" s="74"/>
      <c r="AK48" s="74"/>
      <c r="AL48" s="74"/>
      <c r="AM48" s="74"/>
      <c r="AN48" s="119"/>
      <c r="AO48" s="119"/>
      <c r="AP48" s="119"/>
      <c r="AQ48" s="74"/>
      <c r="AR48" s="74"/>
      <c r="AS48" s="133"/>
      <c r="AT48" s="211">
        <f t="shared" si="1"/>
        <v>0</v>
      </c>
      <c r="AU48" s="119"/>
      <c r="AV48" s="119"/>
      <c r="AW48" s="119"/>
      <c r="AX48" s="119"/>
      <c r="AY48" s="74"/>
      <c r="AZ48" s="74"/>
      <c r="BA48" s="133"/>
      <c r="BB48" s="211"/>
      <c r="BC48" s="78"/>
      <c r="BD48" s="78"/>
      <c r="BE48" s="78"/>
      <c r="BF48" s="54"/>
      <c r="BG48" s="82"/>
      <c r="BH48" s="82"/>
      <c r="BI48" s="82"/>
      <c r="BJ48" s="212">
        <f t="shared" si="2"/>
        <v>0</v>
      </c>
      <c r="BK48" s="205"/>
      <c r="BL48" s="205"/>
    </row>
    <row r="49" spans="1:64">
      <c r="A49" s="1584" t="str">
        <f>'Dépenses BP 2017'!A52</f>
        <v>XX</v>
      </c>
      <c r="B49" s="220"/>
      <c r="C49" s="61"/>
      <c r="D49" s="61"/>
      <c r="E49" s="61"/>
      <c r="F49" s="220"/>
      <c r="G49" s="220"/>
      <c r="H49" s="61"/>
      <c r="I49" s="61">
        <f>'Dépenses BP 2017'!E52</f>
        <v>0</v>
      </c>
      <c r="J49" s="61">
        <f>'Dépenses BP 2017'!F52</f>
        <v>0</v>
      </c>
      <c r="K49" s="61">
        <f>'Dépenses BP 2017'!G52</f>
        <v>0</v>
      </c>
      <c r="L49" s="61"/>
      <c r="M49" s="61">
        <f>'Dépenses BP 2017'!I52</f>
        <v>0</v>
      </c>
      <c r="N49" s="58"/>
      <c r="O49" s="69">
        <f>(P49*U49)/W49</f>
        <v>0</v>
      </c>
      <c r="P49" s="69">
        <f t="shared" ref="P49" si="4">W49-R49-T49</f>
        <v>0</v>
      </c>
      <c r="Q49" s="69">
        <f>(R49*U49)/W49</f>
        <v>171.57026063999999</v>
      </c>
      <c r="R49" s="69">
        <v>5.0000000000000001E-3</v>
      </c>
      <c r="S49" s="69">
        <f>(T49*U49)/W49</f>
        <v>0</v>
      </c>
      <c r="T49" s="69">
        <v>0</v>
      </c>
      <c r="U49" s="69">
        <f>'Dépenses BP 2017'!K52</f>
        <v>171.57026063999999</v>
      </c>
      <c r="V49" s="69"/>
      <c r="W49" s="69">
        <f>'Dépenses BP 2017'!M52</f>
        <v>5.0000000000000001E-3</v>
      </c>
      <c r="X49" s="211"/>
      <c r="Y49" s="74">
        <f>(Z49*AQ49)/AS49</f>
        <v>0</v>
      </c>
      <c r="Z49" s="74"/>
      <c r="AA49" s="74"/>
      <c r="AB49" s="74"/>
      <c r="AC49" s="74">
        <f>(AQ49*AD49)/AS49</f>
        <v>1578.4463978879996</v>
      </c>
      <c r="AD49" s="74">
        <f>AS49-AH49-AL49-AN49-AP49</f>
        <v>4.5999999999999999E-2</v>
      </c>
      <c r="AE49" s="126"/>
      <c r="AF49" s="126"/>
      <c r="AG49" s="74"/>
      <c r="AH49" s="74"/>
      <c r="AI49" s="74">
        <f>(AJ49*AQ49)/AS49</f>
        <v>0</v>
      </c>
      <c r="AJ49" s="74"/>
      <c r="AK49" s="74">
        <f>(AQ49*AL49)/AS49</f>
        <v>0</v>
      </c>
      <c r="AL49" s="74">
        <v>0</v>
      </c>
      <c r="AM49" s="74"/>
      <c r="AN49" s="74"/>
      <c r="AO49" s="119">
        <f>(AQ49*AP49)/AS49</f>
        <v>0</v>
      </c>
      <c r="AP49" s="74">
        <v>0</v>
      </c>
      <c r="AQ49" s="74">
        <f>'Dépenses BP 2017'!N52</f>
        <v>1578.4463978879999</v>
      </c>
      <c r="AR49" s="74"/>
      <c r="AS49" s="133">
        <f>'Dépenses BP 2017'!P52</f>
        <v>4.5999999999999999E-2</v>
      </c>
      <c r="AT49" s="211">
        <f t="shared" si="1"/>
        <v>0</v>
      </c>
      <c r="AU49" s="119"/>
      <c r="AV49" s="74"/>
      <c r="AW49" s="74"/>
      <c r="AX49" s="74"/>
      <c r="AY49" s="74"/>
      <c r="AZ49" s="74"/>
      <c r="BA49" s="133"/>
      <c r="BB49" s="211"/>
      <c r="BC49" s="78">
        <f>'Dépenses BP 2017'!Q52</f>
        <v>0</v>
      </c>
      <c r="BD49" s="78"/>
      <c r="BE49" s="78">
        <f>'Dépenses BP 2017'!S52</f>
        <v>0</v>
      </c>
      <c r="BF49" s="54"/>
      <c r="BG49" s="82">
        <f>'Dépenses BP 2017'!T52</f>
        <v>1750.0166585279999</v>
      </c>
      <c r="BH49" s="82"/>
      <c r="BI49" s="82">
        <f>'Dépenses BP 2017'!V52</f>
        <v>0</v>
      </c>
      <c r="BJ49" s="212">
        <f t="shared" si="2"/>
        <v>-5.0999999999999997E-2</v>
      </c>
      <c r="BK49" s="205">
        <f t="shared" si="3"/>
        <v>5.0999999999999997E-2</v>
      </c>
      <c r="BL49" s="205">
        <f>BI49-BK49</f>
        <v>-5.0999999999999997E-2</v>
      </c>
    </row>
    <row r="50" spans="1:64">
      <c r="A50" s="1584"/>
      <c r="B50" s="220"/>
      <c r="C50" s="61"/>
      <c r="D50" s="61"/>
      <c r="E50" s="61"/>
      <c r="F50" s="220"/>
      <c r="G50" s="220"/>
      <c r="H50" s="61"/>
      <c r="I50" s="61"/>
      <c r="J50" s="61"/>
      <c r="K50" s="61">
        <f>'Dépenses BP 2017'!G53</f>
        <v>0</v>
      </c>
      <c r="L50" s="61"/>
      <c r="M50" s="61"/>
      <c r="N50" s="58"/>
      <c r="O50" s="69">
        <f>(U50*P49)/W49</f>
        <v>0</v>
      </c>
      <c r="P50" s="69"/>
      <c r="Q50" s="69">
        <f>(U50*R49)/W49</f>
        <v>5.6653232586597975</v>
      </c>
      <c r="R50" s="69"/>
      <c r="S50" s="69">
        <f>(U50*T49)/W49</f>
        <v>0</v>
      </c>
      <c r="T50" s="69"/>
      <c r="U50" s="69">
        <f>'Dépenses BP 2017'!K53</f>
        <v>5.6653232586597975</v>
      </c>
      <c r="V50" s="69"/>
      <c r="W50" s="69"/>
      <c r="X50" s="211"/>
      <c r="Y50" s="74"/>
      <c r="Z50" s="74"/>
      <c r="AA50" s="74"/>
      <c r="AB50" s="74"/>
      <c r="AC50" s="74">
        <f>(AQ50*AD49)/AS49</f>
        <v>52.120973979670133</v>
      </c>
      <c r="AD50" s="74"/>
      <c r="AE50" s="126"/>
      <c r="AF50" s="126"/>
      <c r="AG50" s="74"/>
      <c r="AH50" s="74"/>
      <c r="AI50" s="74"/>
      <c r="AJ50" s="74"/>
      <c r="AK50" s="74">
        <f>(AQ50*AL49)/AS49</f>
        <v>0</v>
      </c>
      <c r="AL50" s="74"/>
      <c r="AM50" s="74"/>
      <c r="AN50" s="74"/>
      <c r="AO50" s="119">
        <f>(AQ50*AP49)/AS49</f>
        <v>0</v>
      </c>
      <c r="AP50" s="74"/>
      <c r="AQ50" s="74">
        <f>'Dépenses BP 2017'!N53</f>
        <v>52.120973979670133</v>
      </c>
      <c r="AR50" s="74"/>
      <c r="AS50" s="133"/>
      <c r="AT50" s="211">
        <f t="shared" si="1"/>
        <v>0</v>
      </c>
      <c r="AU50" s="119"/>
      <c r="AV50" s="74"/>
      <c r="AW50" s="74"/>
      <c r="AX50" s="74"/>
      <c r="AY50" s="74"/>
      <c r="AZ50" s="74"/>
      <c r="BA50" s="133"/>
      <c r="BB50" s="211"/>
      <c r="BC50" s="78"/>
      <c r="BD50" s="78"/>
      <c r="BE50" s="78"/>
      <c r="BF50" s="54"/>
      <c r="BG50" s="82">
        <f>'Dépenses BP 2017'!T53</f>
        <v>57.786297238329929</v>
      </c>
      <c r="BH50" s="82"/>
      <c r="BI50" s="82"/>
      <c r="BJ50" s="212">
        <f t="shared" si="2"/>
        <v>0</v>
      </c>
      <c r="BK50" s="205"/>
      <c r="BL50" s="205"/>
    </row>
    <row r="51" spans="1:64">
      <c r="A51" s="1584"/>
      <c r="B51" s="220"/>
      <c r="C51" s="61"/>
      <c r="D51" s="61"/>
      <c r="E51" s="61"/>
      <c r="F51" s="220"/>
      <c r="G51" s="220"/>
      <c r="H51" s="61"/>
      <c r="I51" s="61"/>
      <c r="J51" s="61"/>
      <c r="K51" s="61">
        <f>'Dépenses BP 2017'!G54</f>
        <v>0</v>
      </c>
      <c r="L51" s="61"/>
      <c r="M51" s="61"/>
      <c r="N51" s="58"/>
      <c r="O51" s="69">
        <f>(U51*P49)/W49</f>
        <v>0</v>
      </c>
      <c r="P51" s="69"/>
      <c r="Q51" s="69">
        <f>(U51*R49)/W49</f>
        <v>3.4056287999999997</v>
      </c>
      <c r="R51" s="69"/>
      <c r="S51" s="69">
        <f>(U51*T49)/W49</f>
        <v>0</v>
      </c>
      <c r="T51" s="69"/>
      <c r="U51" s="69">
        <f>'Dépenses BP 2017'!K54</f>
        <v>3.4056287999999997</v>
      </c>
      <c r="V51" s="69"/>
      <c r="W51" s="69"/>
      <c r="X51" s="211"/>
      <c r="Y51" s="74"/>
      <c r="Z51" s="74"/>
      <c r="AA51" s="74"/>
      <c r="AB51" s="74"/>
      <c r="AC51" s="74">
        <f>(AQ51*AD49)/AS49</f>
        <v>31.331784959999993</v>
      </c>
      <c r="AD51" s="74"/>
      <c r="AE51" s="126"/>
      <c r="AF51" s="126"/>
      <c r="AG51" s="74"/>
      <c r="AH51" s="74"/>
      <c r="AI51" s="74"/>
      <c r="AJ51" s="74"/>
      <c r="AK51" s="74">
        <f>(AQ51*AL49)/AS49</f>
        <v>0</v>
      </c>
      <c r="AL51" s="74"/>
      <c r="AM51" s="74"/>
      <c r="AN51" s="74"/>
      <c r="AO51" s="119">
        <f>(AQ51*AP49)/AS49</f>
        <v>0</v>
      </c>
      <c r="AP51" s="74"/>
      <c r="AQ51" s="74">
        <f>'Dépenses BP 2017'!N54</f>
        <v>31.331784959999993</v>
      </c>
      <c r="AR51" s="74"/>
      <c r="AS51" s="133"/>
      <c r="AT51" s="211">
        <f t="shared" si="1"/>
        <v>0</v>
      </c>
      <c r="AU51" s="119"/>
      <c r="AV51" s="74"/>
      <c r="AW51" s="74"/>
      <c r="AX51" s="74"/>
      <c r="AY51" s="74"/>
      <c r="AZ51" s="74"/>
      <c r="BA51" s="133"/>
      <c r="BB51" s="211"/>
      <c r="BC51" s="78"/>
      <c r="BD51" s="78"/>
      <c r="BE51" s="78"/>
      <c r="BF51" s="54"/>
      <c r="BG51" s="82">
        <f>'Dépenses BP 2017'!T54</f>
        <v>34.737413759999995</v>
      </c>
      <c r="BH51" s="82"/>
      <c r="BI51" s="82"/>
      <c r="BJ51" s="212">
        <f t="shared" si="2"/>
        <v>0</v>
      </c>
      <c r="BK51" s="205"/>
      <c r="BL51" s="205"/>
    </row>
    <row r="52" spans="1:64">
      <c r="A52" s="1584" t="str">
        <f>'Dépenses BP 2017'!A55</f>
        <v>XX</v>
      </c>
      <c r="B52" s="220">
        <f>(C52*F52)/H52</f>
        <v>164.33648528999998</v>
      </c>
      <c r="C52" s="61">
        <f>H52</f>
        <v>5.0000000000000001E-3</v>
      </c>
      <c r="D52" s="61"/>
      <c r="E52" s="61"/>
      <c r="F52" s="220">
        <f>'Dépenses BP 2017'!B55</f>
        <v>164.33648528999998</v>
      </c>
      <c r="G52" s="220"/>
      <c r="H52" s="61">
        <f>'Dépenses BP 2017'!D55</f>
        <v>5.0000000000000001E-3</v>
      </c>
      <c r="I52" s="61">
        <f>'Dépenses BP 2017'!E55</f>
        <v>0</v>
      </c>
      <c r="J52" s="61">
        <f>'Dépenses BP 2017'!F55</f>
        <v>0</v>
      </c>
      <c r="K52" s="61">
        <f>'Dépenses BP 2017'!G55</f>
        <v>164.33648528999998</v>
      </c>
      <c r="L52" s="61"/>
      <c r="M52" s="61">
        <f>'Dépenses BP 2017'!I55</f>
        <v>5.0000000000000001E-3</v>
      </c>
      <c r="N52" s="58"/>
      <c r="O52" s="69"/>
      <c r="P52" s="69"/>
      <c r="Q52" s="69"/>
      <c r="R52" s="69"/>
      <c r="S52" s="69"/>
      <c r="T52" s="69"/>
      <c r="U52" s="69">
        <f>'Dépenses BP 2017'!K55</f>
        <v>0</v>
      </c>
      <c r="V52" s="69"/>
      <c r="W52" s="69">
        <f>'Dépenses BP 2017'!M55</f>
        <v>0</v>
      </c>
      <c r="X52" s="211"/>
      <c r="Y52" s="74">
        <f>(Z52*AQ52)/AS52</f>
        <v>0</v>
      </c>
      <c r="Z52" s="74"/>
      <c r="AA52" s="74">
        <f>(AQ52*AB52)/AS52</f>
        <v>0</v>
      </c>
      <c r="AB52" s="74"/>
      <c r="AC52" s="74">
        <f>(AQ52*AD52)/AS52</f>
        <v>3779.7391616699992</v>
      </c>
      <c r="AD52" s="74">
        <f>AS52-AH52-AL52-AN52-AP52</f>
        <v>0.115</v>
      </c>
      <c r="AE52" s="126"/>
      <c r="AF52" s="126"/>
      <c r="AG52" s="74"/>
      <c r="AH52" s="74"/>
      <c r="AI52" s="74">
        <f>(AJ52*AQ52)/AS52</f>
        <v>0</v>
      </c>
      <c r="AJ52" s="74"/>
      <c r="AK52" s="74">
        <f>(AQ52*AL52)/AS52</f>
        <v>0</v>
      </c>
      <c r="AL52" s="74">
        <v>0</v>
      </c>
      <c r="AM52" s="74">
        <f>(AQ52*AN52)/AS52</f>
        <v>164.33648528999996</v>
      </c>
      <c r="AN52" s="74">
        <v>5.0000000000000001E-3</v>
      </c>
      <c r="AO52" s="119">
        <f>(AQ52*AP52)/AS52</f>
        <v>1643.3648528999997</v>
      </c>
      <c r="AP52" s="74">
        <v>0.05</v>
      </c>
      <c r="AQ52" s="74">
        <f>'Dépenses BP 2017'!N55</f>
        <v>5587.4404998599994</v>
      </c>
      <c r="AR52" s="74"/>
      <c r="AS52" s="133">
        <f>'Dépenses BP 2017'!P55</f>
        <v>0.17</v>
      </c>
      <c r="AT52" s="211">
        <f t="shared" si="1"/>
        <v>0</v>
      </c>
      <c r="AU52" s="119"/>
      <c r="AV52" s="74"/>
      <c r="AW52" s="74"/>
      <c r="AX52" s="74"/>
      <c r="AY52" s="74"/>
      <c r="AZ52" s="74"/>
      <c r="BA52" s="133"/>
      <c r="BB52" s="211"/>
      <c r="BC52" s="78">
        <f>'Dépenses BP 2017'!Q55</f>
        <v>0</v>
      </c>
      <c r="BD52" s="78"/>
      <c r="BE52" s="78">
        <f>'Dépenses BP 2017'!S55</f>
        <v>0</v>
      </c>
      <c r="BF52" s="54"/>
      <c r="BG52" s="82">
        <f>'Dépenses BP 2017'!T55</f>
        <v>5751.7769851499997</v>
      </c>
      <c r="BH52" s="82"/>
      <c r="BI52" s="82">
        <f>'Dépenses BP 2017'!V55</f>
        <v>0</v>
      </c>
      <c r="BJ52" s="212">
        <f t="shared" si="2"/>
        <v>-0.17500000000000002</v>
      </c>
      <c r="BK52" s="205">
        <f t="shared" si="3"/>
        <v>0.17499999999999999</v>
      </c>
      <c r="BL52" s="205">
        <f>BI52-BK52</f>
        <v>-0.17499999999999999</v>
      </c>
    </row>
    <row r="53" spans="1:64">
      <c r="A53" s="1584"/>
      <c r="B53" s="220">
        <f>(F53*C52)/H52</f>
        <v>5.3049941640270983</v>
      </c>
      <c r="C53" s="61"/>
      <c r="D53" s="61"/>
      <c r="E53" s="61"/>
      <c r="F53" s="220">
        <f>'Dépenses BP 2017'!B56</f>
        <v>5.3049941640270983</v>
      </c>
      <c r="G53" s="220"/>
      <c r="H53" s="61"/>
      <c r="I53" s="61"/>
      <c r="J53" s="61"/>
      <c r="K53" s="61">
        <f>'Dépenses BP 2017'!G56</f>
        <v>5.3049941640270983</v>
      </c>
      <c r="L53" s="61"/>
      <c r="M53" s="61"/>
      <c r="N53" s="58"/>
      <c r="O53" s="69"/>
      <c r="P53" s="69"/>
      <c r="Q53" s="69"/>
      <c r="R53" s="69"/>
      <c r="S53" s="69"/>
      <c r="T53" s="69"/>
      <c r="U53" s="69">
        <f>'Dépenses BP 2017'!K56</f>
        <v>0</v>
      </c>
      <c r="V53" s="69"/>
      <c r="W53" s="69"/>
      <c r="X53" s="211"/>
      <c r="Y53" s="74"/>
      <c r="Z53" s="74"/>
      <c r="AA53" s="74"/>
      <c r="AB53" s="74"/>
      <c r="AC53" s="74">
        <f>(AQ53*AD52)/AS52</f>
        <v>122.01486577262327</v>
      </c>
      <c r="AD53" s="74"/>
      <c r="AE53" s="126"/>
      <c r="AF53" s="126"/>
      <c r="AG53" s="74"/>
      <c r="AH53" s="74"/>
      <c r="AI53" s="74"/>
      <c r="AJ53" s="74"/>
      <c r="AK53" s="74">
        <f>(AQ53*AL52)/AS52</f>
        <v>0</v>
      </c>
      <c r="AL53" s="74"/>
      <c r="AM53" s="74">
        <f>(AQ53*AN52)/AS52</f>
        <v>5.3049941640270992</v>
      </c>
      <c r="AN53" s="74"/>
      <c r="AO53" s="119">
        <f>(AQ53*AP52)/AS52</f>
        <v>53.049941640270994</v>
      </c>
      <c r="AP53" s="74"/>
      <c r="AQ53" s="74">
        <f>'Dépenses BP 2017'!N56</f>
        <v>180.36980157692136</v>
      </c>
      <c r="AR53" s="74"/>
      <c r="AS53" s="133"/>
      <c r="AT53" s="211">
        <f t="shared" si="1"/>
        <v>0</v>
      </c>
      <c r="AU53" s="119"/>
      <c r="AV53" s="74"/>
      <c r="AW53" s="74"/>
      <c r="AX53" s="74"/>
      <c r="AY53" s="74"/>
      <c r="AZ53" s="74"/>
      <c r="BA53" s="133"/>
      <c r="BB53" s="211"/>
      <c r="BC53" s="78"/>
      <c r="BD53" s="78"/>
      <c r="BE53" s="78"/>
      <c r="BF53" s="54"/>
      <c r="BG53" s="82">
        <f>'Dépenses BP 2017'!T56</f>
        <v>185.67479574094847</v>
      </c>
      <c r="BH53" s="82"/>
      <c r="BI53" s="82"/>
      <c r="BJ53" s="212">
        <f t="shared" si="2"/>
        <v>0</v>
      </c>
      <c r="BK53" s="205"/>
      <c r="BL53" s="205"/>
    </row>
    <row r="54" spans="1:64">
      <c r="A54" s="1584"/>
      <c r="B54" s="220">
        <f>(F54*C52)/H52</f>
        <v>3.2956037999999994</v>
      </c>
      <c r="C54" s="61"/>
      <c r="D54" s="61"/>
      <c r="E54" s="61"/>
      <c r="F54" s="220">
        <f>'Dépenses BP 2017'!B57</f>
        <v>3.2956037999999994</v>
      </c>
      <c r="G54" s="220"/>
      <c r="H54" s="61"/>
      <c r="I54" s="61"/>
      <c r="J54" s="61"/>
      <c r="K54" s="61">
        <f>'Dépenses BP 2017'!G57</f>
        <v>3.2956037999999994</v>
      </c>
      <c r="L54" s="61"/>
      <c r="M54" s="61"/>
      <c r="N54" s="58"/>
      <c r="O54" s="69"/>
      <c r="P54" s="69"/>
      <c r="Q54" s="69"/>
      <c r="R54" s="69"/>
      <c r="S54" s="69"/>
      <c r="T54" s="69"/>
      <c r="U54" s="69">
        <f>'Dépenses BP 2017'!K57</f>
        <v>0</v>
      </c>
      <c r="V54" s="69"/>
      <c r="W54" s="69"/>
      <c r="X54" s="211"/>
      <c r="Y54" s="74"/>
      <c r="Z54" s="74"/>
      <c r="AA54" s="74"/>
      <c r="AB54" s="74"/>
      <c r="AC54" s="74">
        <f>(AQ54*AD52)/AS52</f>
        <v>75.798887399999984</v>
      </c>
      <c r="AD54" s="74"/>
      <c r="AE54" s="126"/>
      <c r="AF54" s="126"/>
      <c r="AG54" s="74"/>
      <c r="AH54" s="74"/>
      <c r="AI54" s="74"/>
      <c r="AJ54" s="74"/>
      <c r="AK54" s="74">
        <f>(AQ54*AL52)/AS52</f>
        <v>0</v>
      </c>
      <c r="AL54" s="74"/>
      <c r="AM54" s="74">
        <f>(AQ54*AN52)/AS52</f>
        <v>3.2956037999999994</v>
      </c>
      <c r="AN54" s="74"/>
      <c r="AO54" s="119">
        <f>(AQ54*AP52)/AS52</f>
        <v>32.956037999999999</v>
      </c>
      <c r="AP54" s="74"/>
      <c r="AQ54" s="74">
        <f>'Dépenses BP 2017'!N57</f>
        <v>112.05052919999999</v>
      </c>
      <c r="AR54" s="74"/>
      <c r="AS54" s="133"/>
      <c r="AT54" s="211">
        <f t="shared" si="1"/>
        <v>0</v>
      </c>
      <c r="AU54" s="119"/>
      <c r="AV54" s="74"/>
      <c r="AW54" s="74"/>
      <c r="AX54" s="74"/>
      <c r="AY54" s="74"/>
      <c r="AZ54" s="74"/>
      <c r="BA54" s="133"/>
      <c r="BB54" s="211"/>
      <c r="BC54" s="78"/>
      <c r="BD54" s="78"/>
      <c r="BE54" s="78"/>
      <c r="BF54" s="54"/>
      <c r="BG54" s="82">
        <f>'Dépenses BP 2017'!T57</f>
        <v>115.34613299999998</v>
      </c>
      <c r="BH54" s="82"/>
      <c r="BI54" s="82"/>
      <c r="BJ54" s="212">
        <f t="shared" si="2"/>
        <v>0</v>
      </c>
      <c r="BK54" s="205"/>
      <c r="BL54" s="205"/>
    </row>
    <row r="55" spans="1:64">
      <c r="A55" s="1584" t="str">
        <f>'Dépenses BP 2017'!A58</f>
        <v>XX</v>
      </c>
      <c r="B55" s="220"/>
      <c r="C55" s="61">
        <f>H55</f>
        <v>0</v>
      </c>
      <c r="D55" s="61"/>
      <c r="E55" s="61"/>
      <c r="F55" s="220">
        <f>'Dépenses BP 2017'!B58</f>
        <v>0</v>
      </c>
      <c r="G55" s="220"/>
      <c r="H55" s="61">
        <f>'Dépenses BP 2017'!D58</f>
        <v>0</v>
      </c>
      <c r="I55" s="61">
        <f>'Dépenses BP 2017'!E58</f>
        <v>0</v>
      </c>
      <c r="J55" s="61">
        <f>'Dépenses BP 2017'!F58</f>
        <v>0</v>
      </c>
      <c r="K55" s="61">
        <f>'Dépenses BP 2017'!G58</f>
        <v>0</v>
      </c>
      <c r="L55" s="61"/>
      <c r="M55" s="61">
        <f>'Dépenses BP 2017'!I58</f>
        <v>0</v>
      </c>
      <c r="N55" s="58"/>
      <c r="O55" s="69">
        <f>(P55*U55)/W55</f>
        <v>0</v>
      </c>
      <c r="P55" s="69">
        <v>0</v>
      </c>
      <c r="Q55" s="69">
        <f>(R55*U55)/W55</f>
        <v>1269.4570279193128</v>
      </c>
      <c r="R55" s="69">
        <f>W55-P55-T55</f>
        <v>3.9820990333333001E-2</v>
      </c>
      <c r="S55" s="69">
        <f>(T55*U55)/W55</f>
        <v>0</v>
      </c>
      <c r="T55" s="69">
        <v>0</v>
      </c>
      <c r="U55" s="69">
        <f>'Dépenses BP 2017'!K58</f>
        <v>1269.4570279193128</v>
      </c>
      <c r="V55" s="69"/>
      <c r="W55" s="69">
        <f>'Dépenses BP 2017'!M58</f>
        <v>3.9820990333333001E-2</v>
      </c>
      <c r="X55" s="211"/>
      <c r="Y55" s="74">
        <f>(Z55*AQ55)/AS55</f>
        <v>0</v>
      </c>
      <c r="Z55" s="74"/>
      <c r="AA55" s="74">
        <f>(AQ55*AB55)/AS55</f>
        <v>0</v>
      </c>
      <c r="AB55" s="74"/>
      <c r="AC55" s="74">
        <f>(AQ55*AD55)/AS55</f>
        <v>3028.5137723304006</v>
      </c>
      <c r="AD55" s="74">
        <f>AS55-AH55-AL55-AN55-AP55</f>
        <v>9.5000000000000001E-2</v>
      </c>
      <c r="AE55" s="126"/>
      <c r="AF55" s="126"/>
      <c r="AG55" s="74"/>
      <c r="AH55" s="74"/>
      <c r="AI55" s="74"/>
      <c r="AJ55" s="74"/>
      <c r="AK55" s="74">
        <f>(AQ55*AL55)/AS55</f>
        <v>0</v>
      </c>
      <c r="AL55" s="74">
        <v>0</v>
      </c>
      <c r="AM55" s="74"/>
      <c r="AN55" s="74"/>
      <c r="AO55" s="119">
        <f>(AQ55*AP55)/AS55</f>
        <v>2231.5364638224</v>
      </c>
      <c r="AP55" s="74">
        <v>7.0000000000000007E-2</v>
      </c>
      <c r="AQ55" s="74">
        <f>'Dépenses BP 2017'!N58</f>
        <v>5260.0502361528006</v>
      </c>
      <c r="AR55" s="74"/>
      <c r="AS55" s="133">
        <f>'Dépenses BP 2017'!P58</f>
        <v>0.16500000000000001</v>
      </c>
      <c r="AT55" s="211">
        <f t="shared" si="1"/>
        <v>0</v>
      </c>
      <c r="AU55" s="119"/>
      <c r="AV55" s="74"/>
      <c r="AW55" s="119"/>
      <c r="AX55" s="74"/>
      <c r="AY55" s="74">
        <f>'Dépenses BP 2017'!Q58</f>
        <v>0</v>
      </c>
      <c r="AZ55" s="74"/>
      <c r="BA55" s="133">
        <f>'Dépenses BP 2017'!S58</f>
        <v>0</v>
      </c>
      <c r="BB55" s="211"/>
      <c r="BC55" s="78">
        <f>'Dépenses BP 2017'!Q58</f>
        <v>0</v>
      </c>
      <c r="BD55" s="78"/>
      <c r="BE55" s="78">
        <f>'Dépenses BP 2017'!S58</f>
        <v>0</v>
      </c>
      <c r="BF55" s="54"/>
      <c r="BG55" s="82">
        <f>'Dépenses BP 2017'!T58</f>
        <v>6529.5072640721137</v>
      </c>
      <c r="BH55" s="82"/>
      <c r="BI55" s="82">
        <f>'Dépenses BP 2017'!V58</f>
        <v>0</v>
      </c>
      <c r="BJ55" s="212">
        <f t="shared" si="2"/>
        <v>-0.20482099033333301</v>
      </c>
      <c r="BK55" s="205">
        <f t="shared" si="3"/>
        <v>0.20482099033333301</v>
      </c>
      <c r="BL55" s="205">
        <f>BI55-BK55</f>
        <v>-0.20482099033333301</v>
      </c>
    </row>
    <row r="56" spans="1:64">
      <c r="A56" s="1584"/>
      <c r="B56" s="220"/>
      <c r="C56" s="61"/>
      <c r="D56" s="61"/>
      <c r="E56" s="61"/>
      <c r="F56" s="220">
        <f>'Dépenses BP 2017'!B59</f>
        <v>0</v>
      </c>
      <c r="G56" s="61"/>
      <c r="H56" s="61"/>
      <c r="I56" s="61"/>
      <c r="J56" s="61"/>
      <c r="K56" s="61">
        <f>'Dépenses BP 2017'!G59</f>
        <v>0</v>
      </c>
      <c r="L56" s="61"/>
      <c r="M56" s="61"/>
      <c r="N56" s="58"/>
      <c r="O56" s="69">
        <f>(U56*P55)/W55</f>
        <v>0</v>
      </c>
      <c r="P56" s="69"/>
      <c r="Q56" s="69">
        <f>(U56*R55)/W55</f>
        <v>40.339169892945506</v>
      </c>
      <c r="R56" s="69"/>
      <c r="S56" s="69">
        <f>(U56*T55)/W55</f>
        <v>0</v>
      </c>
      <c r="T56" s="69"/>
      <c r="U56" s="69">
        <f>'Dépenses BP 2017'!K59</f>
        <v>40.339169892945506</v>
      </c>
      <c r="V56" s="69"/>
      <c r="W56" s="69"/>
      <c r="X56" s="211"/>
      <c r="Y56" s="74"/>
      <c r="Z56" s="74"/>
      <c r="AA56" s="74"/>
      <c r="AB56" s="74"/>
      <c r="AC56" s="74">
        <f>(AQ56*AD55)/AS55</f>
        <v>96.236208787152663</v>
      </c>
      <c r="AD56" s="74"/>
      <c r="AE56" s="126"/>
      <c r="AF56" s="126"/>
      <c r="AG56" s="74"/>
      <c r="AH56" s="74"/>
      <c r="AI56" s="74"/>
      <c r="AJ56" s="74"/>
      <c r="AK56" s="74">
        <f>(AQ56*AL55)/AS55</f>
        <v>0</v>
      </c>
      <c r="AL56" s="74"/>
      <c r="AM56" s="74"/>
      <c r="AN56" s="74"/>
      <c r="AO56" s="119">
        <f>(AQ56*AP55)/AS55</f>
        <v>70.910890685270388</v>
      </c>
      <c r="AP56" s="74"/>
      <c r="AQ56" s="74">
        <f>'Dépenses BP 2017'!N59</f>
        <v>167.14709947242306</v>
      </c>
      <c r="AR56" s="74"/>
      <c r="AS56" s="133"/>
      <c r="AT56" s="211">
        <f t="shared" si="1"/>
        <v>0</v>
      </c>
      <c r="AU56" s="119"/>
      <c r="AV56" s="74"/>
      <c r="AW56" s="119"/>
      <c r="AX56" s="74"/>
      <c r="AY56" s="74">
        <f>'Dépenses BP 2017'!Q59</f>
        <v>0</v>
      </c>
      <c r="AZ56" s="74"/>
      <c r="BA56" s="133"/>
      <c r="BB56" s="211"/>
      <c r="BC56" s="78"/>
      <c r="BD56" s="78"/>
      <c r="BE56" s="78"/>
      <c r="BF56" s="54"/>
      <c r="BG56" s="82">
        <f>'Dépenses BP 2017'!T59</f>
        <v>207.48626936536857</v>
      </c>
      <c r="BH56" s="82"/>
      <c r="BI56" s="82"/>
      <c r="BJ56" s="212">
        <f t="shared" si="2"/>
        <v>0</v>
      </c>
      <c r="BK56" s="205"/>
      <c r="BL56" s="205"/>
    </row>
    <row r="57" spans="1:64">
      <c r="A57" s="1584"/>
      <c r="B57" s="220"/>
      <c r="C57" s="61"/>
      <c r="D57" s="61"/>
      <c r="E57" s="61"/>
      <c r="F57" s="220">
        <f>'Dépenses BP 2017'!B60</f>
        <v>0</v>
      </c>
      <c r="G57" s="61"/>
      <c r="H57" s="61"/>
      <c r="I57" s="61"/>
      <c r="J57" s="61"/>
      <c r="K57" s="61">
        <f>'Dépenses BP 2017'!G60</f>
        <v>0</v>
      </c>
      <c r="L57" s="61"/>
      <c r="M57" s="61"/>
      <c r="N57" s="58"/>
      <c r="O57" s="69">
        <f>(U57*P55)/W55</f>
        <v>0</v>
      </c>
      <c r="P57" s="69"/>
      <c r="Q57" s="69">
        <f>(U57*R55)/W55</f>
        <v>25.663369926538582</v>
      </c>
      <c r="R57" s="69"/>
      <c r="S57" s="69">
        <f>(U57*T55)/W55</f>
        <v>0</v>
      </c>
      <c r="T57" s="69"/>
      <c r="U57" s="69">
        <f>'Dépenses BP 2017'!K60</f>
        <v>25.663369926538586</v>
      </c>
      <c r="V57" s="69"/>
      <c r="W57" s="69"/>
      <c r="X57" s="211"/>
      <c r="Y57" s="74"/>
      <c r="Z57" s="74"/>
      <c r="AA57" s="74"/>
      <c r="AB57" s="74"/>
      <c r="AC57" s="74">
        <f>(AQ57*AD55)/AS55</f>
        <v>61.224498000000004</v>
      </c>
      <c r="AD57" s="74"/>
      <c r="AE57" s="126"/>
      <c r="AF57" s="126"/>
      <c r="AG57" s="74"/>
      <c r="AH57" s="74"/>
      <c r="AI57" s="74"/>
      <c r="AJ57" s="74"/>
      <c r="AK57" s="74">
        <f>(AQ57*AL55)/AS55</f>
        <v>0</v>
      </c>
      <c r="AL57" s="74"/>
      <c r="AM57" s="74"/>
      <c r="AN57" s="74"/>
      <c r="AO57" s="119">
        <f>(AQ57*AP55)/AS55</f>
        <v>45.112788000000009</v>
      </c>
      <c r="AP57" s="74"/>
      <c r="AQ57" s="74">
        <f>'Dépenses BP 2017'!N60</f>
        <v>106.33728600000001</v>
      </c>
      <c r="AR57" s="74"/>
      <c r="AS57" s="133"/>
      <c r="AT57" s="211">
        <f t="shared" si="1"/>
        <v>0</v>
      </c>
      <c r="AU57" s="119"/>
      <c r="AV57" s="74"/>
      <c r="AW57" s="119"/>
      <c r="AX57" s="74"/>
      <c r="AY57" s="74">
        <f>'Dépenses BP 2017'!Q60</f>
        <v>0</v>
      </c>
      <c r="AZ57" s="74"/>
      <c r="BA57" s="133"/>
      <c r="BB57" s="211"/>
      <c r="BC57" s="78"/>
      <c r="BD57" s="78"/>
      <c r="BE57" s="78"/>
      <c r="BF57" s="54"/>
      <c r="BG57" s="82">
        <f>'Dépenses BP 2017'!T60</f>
        <v>132.0006559265386</v>
      </c>
      <c r="BH57" s="82"/>
      <c r="BI57" s="82"/>
      <c r="BJ57" s="212">
        <f t="shared" si="2"/>
        <v>0</v>
      </c>
      <c r="BK57" s="205"/>
      <c r="BL57" s="205"/>
    </row>
    <row r="58" spans="1:64">
      <c r="A58" s="222" t="str">
        <f>'Dépenses BP 2017'!A61</f>
        <v>Autre charges de personnel</v>
      </c>
      <c r="B58" s="62">
        <f>SUM(B59:B61)</f>
        <v>39.379608370318891</v>
      </c>
      <c r="C58" s="62"/>
      <c r="D58" s="62">
        <f>SUM(D59:D61)</f>
        <v>0</v>
      </c>
      <c r="E58" s="62"/>
      <c r="F58" s="62">
        <f>'Dépenses BP 2017'!B61</f>
        <v>39.379608370318891</v>
      </c>
      <c r="G58" s="62"/>
      <c r="H58" s="62"/>
      <c r="I58" s="62">
        <f>'Dépenses BP 2017'!E61</f>
        <v>0</v>
      </c>
      <c r="J58" s="62"/>
      <c r="K58" s="62">
        <f>'Dépenses BP 2017'!G61</f>
        <v>39.379608370318891</v>
      </c>
      <c r="L58" s="62"/>
      <c r="M58" s="62"/>
      <c r="N58" s="57"/>
      <c r="O58" s="73">
        <f>SUM(O59:O61)</f>
        <v>78.529949822109884</v>
      </c>
      <c r="P58" s="62"/>
      <c r="Q58" s="73">
        <f>SUM(Q59:Q61)</f>
        <v>12.424187110899855</v>
      </c>
      <c r="R58" s="62"/>
      <c r="S58" s="62">
        <f>SUM(S59:S61)</f>
        <v>7.4762105552724902</v>
      </c>
      <c r="T58" s="62"/>
      <c r="U58" s="62">
        <f>'Dépenses BP 2017'!K61</f>
        <v>98.430347488282223</v>
      </c>
      <c r="V58" s="62"/>
      <c r="W58" s="62"/>
      <c r="X58" s="53"/>
      <c r="Y58" s="73">
        <f>SUM(Y59:Y61)</f>
        <v>0</v>
      </c>
      <c r="Z58" s="73"/>
      <c r="AA58" s="73">
        <f>SUM(AA59:AA61)</f>
        <v>0</v>
      </c>
      <c r="AB58" s="73"/>
      <c r="AC58" s="73">
        <f>SUM(AC59:AC61)</f>
        <v>101.00923342358584</v>
      </c>
      <c r="AD58" s="73"/>
      <c r="AE58" s="73">
        <f>SUM(AE59:AE61)</f>
        <v>0</v>
      </c>
      <c r="AF58" s="73">
        <f>SUM(AF59:AF61)</f>
        <v>0</v>
      </c>
      <c r="AG58" s="73">
        <f>SUM(AG59:AG61)</f>
        <v>119.85098199662271</v>
      </c>
      <c r="AH58" s="73"/>
      <c r="AI58" s="73">
        <f>SUM(AI59:AI61)</f>
        <v>10.895543817874792</v>
      </c>
      <c r="AJ58" s="73"/>
      <c r="AK58" s="73">
        <f>SUM(AK59:AK61)</f>
        <v>9.1328004787686795E-2</v>
      </c>
      <c r="AL58" s="73"/>
      <c r="AM58" s="73">
        <f>SUM(AM59:AM61)</f>
        <v>16.500613650051651</v>
      </c>
      <c r="AN58" s="73"/>
      <c r="AO58" s="73">
        <f>SUM(AO59:AO61)</f>
        <v>27.238859544686974</v>
      </c>
      <c r="AP58" s="73"/>
      <c r="AQ58" s="73">
        <f>'Dépenses BP 2017'!N61</f>
        <v>275.58656043760971</v>
      </c>
      <c r="AR58" s="73"/>
      <c r="AS58" s="131" t="str">
        <f>'Dépenses BP 2017'!P61</f>
        <v>/</v>
      </c>
      <c r="AT58" s="54">
        <f>AQ58-(AC58+AG58+AI58+AK58+AM58+AO58)</f>
        <v>0</v>
      </c>
      <c r="AU58" s="73">
        <f>SUM(AU59:AU61)</f>
        <v>99.871185211419032</v>
      </c>
      <c r="AV58" s="73"/>
      <c r="AW58" s="73">
        <f>SUM(AW59:AW61)</f>
        <v>1.8931006571559263</v>
      </c>
      <c r="AX58" s="73"/>
      <c r="AY58" s="73">
        <f>'Dépenses BP 2017'!Q61</f>
        <v>101.76428586857497</v>
      </c>
      <c r="AZ58" s="73"/>
      <c r="BA58" s="131" t="str">
        <f>'Dépenses BP 2017'!S61</f>
        <v>/</v>
      </c>
      <c r="BB58" s="211"/>
      <c r="BC58" s="73">
        <f>'Dépenses BP 2017'!Q61</f>
        <v>101.76428586857497</v>
      </c>
      <c r="BD58" s="73"/>
      <c r="BE58" s="73" t="str">
        <f>'Dépenses BP 2017'!S61</f>
        <v>/</v>
      </c>
      <c r="BF58" s="53"/>
      <c r="BG58" s="73">
        <f>'Dépenses BP 2017'!T61</f>
        <v>515.16080216478576</v>
      </c>
      <c r="BH58" s="73"/>
      <c r="BI58" s="73"/>
      <c r="BJ58" s="205">
        <f>BG58-(AW58+AU58+AO58+AM58+AK58+AI58+AG58+AC58+S58+Q58+O58+D58+B58)</f>
        <v>0</v>
      </c>
      <c r="BK58" s="205">
        <f>B58+D58+O58+Q58+S58+AC58+AG58+AK58+AM58+AO58+AU58+AW58</f>
        <v>504.26525834691091</v>
      </c>
    </row>
    <row r="59" spans="1:64">
      <c r="A59" s="1584" t="str">
        <f>'Dépenses BP 2017'!A62</f>
        <v>Participation projet associatif</v>
      </c>
      <c r="B59" s="61">
        <f>'Dépenses BP 2017'!BJ62*C59</f>
        <v>0</v>
      </c>
      <c r="C59" s="94">
        <f>$C$6/$BJ$6</f>
        <v>1.6073309538905668E-2</v>
      </c>
      <c r="D59" s="61">
        <f>'Dépenses BP 2017'!BJ62*E59</f>
        <v>0</v>
      </c>
      <c r="E59" s="94">
        <f>$E$6/$BJ$6</f>
        <v>0</v>
      </c>
      <c r="F59" s="61">
        <f>'Dépenses BP 2017'!B62</f>
        <v>0</v>
      </c>
      <c r="G59" s="94">
        <f>'Dépenses BP 2017'!C62</f>
        <v>1.6073309538905668E-2</v>
      </c>
      <c r="H59" s="94"/>
      <c r="I59" s="61">
        <f>'Dépenses BP 2017'!E62</f>
        <v>0</v>
      </c>
      <c r="J59" s="94">
        <f>'Dépenses BP 2017'!F62</f>
        <v>0</v>
      </c>
      <c r="K59" s="61">
        <f>'Dépenses BP 2017'!G62</f>
        <v>0</v>
      </c>
      <c r="L59" s="94">
        <f>'Dépenses BP 2017'!H62</f>
        <v>1.6073309538905668E-2</v>
      </c>
      <c r="M59" s="61"/>
      <c r="N59" s="58"/>
      <c r="O59" s="69">
        <f>'Dépenses BP 2017'!BJ62*P59</f>
        <v>0</v>
      </c>
      <c r="P59" s="92">
        <f>$P$6/$BJ$6</f>
        <v>3.2053040743718321E-2</v>
      </c>
      <c r="Q59" s="69">
        <f>'Dépenses BP 2017'!BJ62*R59</f>
        <v>0</v>
      </c>
      <c r="R59" s="92">
        <f>$R$6/$BJ$6</f>
        <v>5.0710967799591248E-3</v>
      </c>
      <c r="S59" s="69">
        <f>'Dépenses BP 2017'!BJ62*T59</f>
        <v>0</v>
      </c>
      <c r="T59" s="92">
        <f>$T$6/$BJ$6</f>
        <v>3.0515145123561184E-3</v>
      </c>
      <c r="U59" s="69">
        <f>'Dépenses BP 2017'!K62</f>
        <v>0</v>
      </c>
      <c r="V59" s="92">
        <f>'Dépenses BP 2017'!L62</f>
        <v>4.0175652036033564E-2</v>
      </c>
      <c r="W59" s="69"/>
      <c r="X59" s="54"/>
      <c r="Y59" s="74">
        <f>'Dépenses BP 2017'!BJ62*Z59</f>
        <v>0</v>
      </c>
      <c r="Z59" s="90">
        <f>$Z$6/$BJ$6</f>
        <v>0</v>
      </c>
      <c r="AA59" s="74">
        <f>'Dépenses BP 2017'!BJ62*AB59</f>
        <v>0</v>
      </c>
      <c r="AB59" s="90">
        <f>$AB$6/$BJ$6</f>
        <v>0</v>
      </c>
      <c r="AC59" s="74">
        <f>'Dépenses BP 2017'!BJ62*AD59</f>
        <v>0</v>
      </c>
      <c r="AD59" s="90">
        <f>$AD$6/$BJ$6</f>
        <v>4.1228258540239121E-2</v>
      </c>
      <c r="AE59" s="128"/>
      <c r="AF59" s="128"/>
      <c r="AG59" s="74">
        <f>'Dépenses BP 2017'!BJ62*AH59</f>
        <v>0</v>
      </c>
      <c r="AH59" s="90">
        <f>$AH$6/$BJ$6</f>
        <v>4.8918768161886818E-2</v>
      </c>
      <c r="AI59" s="74">
        <f>'Dépenses BP 2017'!BJ62*AJ59</f>
        <v>0</v>
      </c>
      <c r="AJ59" s="90">
        <f>$AJ$6/$BJ$6</f>
        <v>4.4471607419897105E-3</v>
      </c>
      <c r="AK59" s="74">
        <f>'Dépenses BP 2017'!BJ62*AL59</f>
        <v>0</v>
      </c>
      <c r="AL59" s="90">
        <f>$AL$6/$BJ$6</f>
        <v>3.7276736648035431E-5</v>
      </c>
      <c r="AM59" s="74">
        <f>'Dépenses BP 2017'!BJ62*AN59</f>
        <v>0</v>
      </c>
      <c r="AN59" s="90">
        <f>$AN$6/$BJ$6</f>
        <v>6.7349443469598581E-3</v>
      </c>
      <c r="AO59" s="74">
        <f>'Dépenses BP 2017'!BJ62*AP59</f>
        <v>0</v>
      </c>
      <c r="AP59" s="342">
        <f>$AP$6/$BJ$6</f>
        <v>1.1117901854974277E-2</v>
      </c>
      <c r="AQ59" s="74">
        <f>'Dépenses BP 2017'!N62</f>
        <v>0</v>
      </c>
      <c r="AR59" s="90">
        <f>'Dépenses BP 2017'!O62</f>
        <v>0.11248431038269782</v>
      </c>
      <c r="AS59" s="133"/>
      <c r="AT59" s="54">
        <f t="shared" ref="AT59:AT121" si="5">AQ59-(AC59+AG59+AI59+AK59+AM59+AO59)</f>
        <v>0</v>
      </c>
      <c r="AU59" s="74">
        <f>'Dépenses BP 2017'!BJ62*AV59</f>
        <v>0</v>
      </c>
      <c r="AV59" s="342">
        <f>$AV$6/$BJ$6</f>
        <v>4.076374906588532E-2</v>
      </c>
      <c r="AW59" s="74">
        <f>'Dépenses BP 2017'!BJ62*AX59</f>
        <v>0</v>
      </c>
      <c r="AX59" s="342">
        <f>$AX$6/$BJ$6</f>
        <v>7.726941457779291E-4</v>
      </c>
      <c r="AY59" s="74">
        <f>'Dépenses BP 2017'!Q62</f>
        <v>0</v>
      </c>
      <c r="AZ59" s="1540">
        <f>'Dépenses BP 2017'!R62</f>
        <v>4.1536443211663256E-2</v>
      </c>
      <c r="BA59" s="133"/>
      <c r="BB59" s="211"/>
      <c r="BC59" s="78">
        <f>'Dépenses BP 2017'!Q62</f>
        <v>0</v>
      </c>
      <c r="BD59" s="89">
        <f>'Dépenses BP 2017'!R62</f>
        <v>4.1536443211663256E-2</v>
      </c>
      <c r="BE59" s="78"/>
      <c r="BF59" s="54"/>
      <c r="BG59" s="82">
        <f>'Dépenses BP 2017'!T62</f>
        <v>0</v>
      </c>
      <c r="BH59" s="87">
        <f>'Dépenses BP 2017'!U62</f>
        <v>0.21026971516930029</v>
      </c>
      <c r="BI59" s="82"/>
      <c r="BJ59" s="205">
        <f t="shared" ref="BJ59:BJ121" si="6">BG59-(AW59+AU59+AO59+AM59+AK59+AI59+AG59+AC59+S59+Q59+O59+D59+B59)</f>
        <v>0</v>
      </c>
      <c r="BK59" s="205"/>
    </row>
    <row r="60" spans="1:64">
      <c r="A60" s="1584" t="str">
        <f>'Dépenses BP 2017'!A63</f>
        <v>Indemnités stage</v>
      </c>
      <c r="B60" s="61">
        <f>'Dépenses BP 2017'!BJ63*C60</f>
        <v>16.073309538905669</v>
      </c>
      <c r="C60" s="94">
        <f>$C$6/$BJ$6</f>
        <v>1.6073309538905668E-2</v>
      </c>
      <c r="D60" s="61">
        <f>'Dépenses BP 2017'!BJ63*E60</f>
        <v>0</v>
      </c>
      <c r="E60" s="94">
        <f>$E$6/$BJ$6</f>
        <v>0</v>
      </c>
      <c r="F60" s="61">
        <f>'Dépenses BP 2017'!B63</f>
        <v>16.073309538905669</v>
      </c>
      <c r="G60" s="94">
        <f>'Dépenses BP 2017'!C63</f>
        <v>1.6073309538905668E-2</v>
      </c>
      <c r="H60" s="94"/>
      <c r="I60" s="61"/>
      <c r="J60" s="94"/>
      <c r="K60" s="61"/>
      <c r="L60" s="94"/>
      <c r="M60" s="61"/>
      <c r="N60" s="58"/>
      <c r="O60" s="69">
        <f>'Dépenses BP 2017'!BJ63*P60</f>
        <v>32.05304074371832</v>
      </c>
      <c r="P60" s="92">
        <f>$P$6/$BJ$6</f>
        <v>3.2053040743718321E-2</v>
      </c>
      <c r="Q60" s="69">
        <f>'Dépenses BP 2017'!BJ63*R60</f>
        <v>5.0710967799591247</v>
      </c>
      <c r="R60" s="92">
        <f>$R$6/$BJ$6</f>
        <v>5.0710967799591248E-3</v>
      </c>
      <c r="S60" s="69">
        <f>'Dépenses BP 2017'!BJ63*T60</f>
        <v>3.0515145123561185</v>
      </c>
      <c r="T60" s="92">
        <f>$T$6/$BJ$6</f>
        <v>3.0515145123561184E-3</v>
      </c>
      <c r="U60" s="69">
        <f>'Dépenses BP 2017'!K63</f>
        <v>40.175652036033561</v>
      </c>
      <c r="V60" s="92">
        <f>'Dépenses BP 2017'!L63</f>
        <v>4.0175652036033564E-2</v>
      </c>
      <c r="W60" s="69"/>
      <c r="X60" s="54"/>
      <c r="Y60" s="74"/>
      <c r="Z60" s="90"/>
      <c r="AA60" s="74"/>
      <c r="AB60" s="90"/>
      <c r="AC60" s="74">
        <f>'Dépenses BP 2017'!BJ63*AD60</f>
        <v>41.228258540239118</v>
      </c>
      <c r="AD60" s="90">
        <f>$AD$6/$BJ$6</f>
        <v>4.1228258540239121E-2</v>
      </c>
      <c r="AE60" s="128"/>
      <c r="AF60" s="128"/>
      <c r="AG60" s="74">
        <f>'Dépenses BP 2017'!BJ63*AH60</f>
        <v>48.918768161886817</v>
      </c>
      <c r="AH60" s="90">
        <f>$AH$6/$BJ$6</f>
        <v>4.8918768161886818E-2</v>
      </c>
      <c r="AI60" s="74">
        <f>'Dépenses BP 2017'!BJ63*AJ60</f>
        <v>4.4471607419897108</v>
      </c>
      <c r="AJ60" s="90">
        <f>$AJ$6/$BJ$6</f>
        <v>4.4471607419897105E-3</v>
      </c>
      <c r="AK60" s="74">
        <f>'Dépenses BP 2017'!BJ63*AL60</f>
        <v>3.7276736648035429E-2</v>
      </c>
      <c r="AL60" s="90">
        <f>$AL$6/$BJ$6</f>
        <v>3.7276736648035431E-5</v>
      </c>
      <c r="AM60" s="74">
        <f>'Dépenses BP 2017'!BJ63*AN60</f>
        <v>6.7349443469598578</v>
      </c>
      <c r="AN60" s="90">
        <f>$AN$6/$BJ$6</f>
        <v>6.7349443469598581E-3</v>
      </c>
      <c r="AO60" s="74">
        <f>'Dépenses BP 2017'!BJ63*AP60</f>
        <v>11.117901854974276</v>
      </c>
      <c r="AP60" s="342">
        <f>$AP$6/$BJ$6</f>
        <v>1.1117901854974277E-2</v>
      </c>
      <c r="AQ60" s="74">
        <f>'Dépenses BP 2017'!N63</f>
        <v>112.48431038269783</v>
      </c>
      <c r="AR60" s="90">
        <f>'Dépenses BP 2017'!O62</f>
        <v>0.11248431038269782</v>
      </c>
      <c r="AS60" s="133"/>
      <c r="AT60" s="54">
        <f t="shared" si="5"/>
        <v>0</v>
      </c>
      <c r="AU60" s="74">
        <f>'Dépenses BP 2017'!BJ63*AV60</f>
        <v>40.763749065885321</v>
      </c>
      <c r="AV60" s="342">
        <f>$AV$6/$BJ$6</f>
        <v>4.076374906588532E-2</v>
      </c>
      <c r="AW60" s="74">
        <f>'Dépenses BP 2017'!BJ63*AX60</f>
        <v>0.77269414577792905</v>
      </c>
      <c r="AX60" s="342">
        <f>$AX$6/$BJ$6</f>
        <v>7.726941457779291E-4</v>
      </c>
      <c r="AY60" s="74">
        <f>'Dépenses BP 2017'!Q63</f>
        <v>41.536443211663254</v>
      </c>
      <c r="AZ60" s="1540">
        <f>'Dépenses BP 2017'!R63</f>
        <v>4.1536443211663256E-2</v>
      </c>
      <c r="BA60" s="133"/>
      <c r="BB60" s="211"/>
      <c r="BC60" s="78">
        <f>'Dépenses BP 2017'!Q62</f>
        <v>0</v>
      </c>
      <c r="BD60" s="89">
        <f>'Dépenses BP 2017'!R62</f>
        <v>4.1536443211663256E-2</v>
      </c>
      <c r="BE60" s="78"/>
      <c r="BF60" s="54"/>
      <c r="BG60" s="82">
        <f>'Dépenses BP 2017'!T63</f>
        <v>210.2697151693003</v>
      </c>
      <c r="BH60" s="87">
        <f>'Dépenses BP 2017'!U62</f>
        <v>0.21026971516930029</v>
      </c>
      <c r="BI60" s="82"/>
      <c r="BJ60" s="205">
        <f t="shared" si="6"/>
        <v>0</v>
      </c>
      <c r="BK60" s="205"/>
    </row>
    <row r="61" spans="1:64">
      <c r="A61" s="1584" t="str">
        <f>'Dépenses BP 2017'!A64</f>
        <v>Médecine du travail</v>
      </c>
      <c r="B61" s="61">
        <f>'Dépenses BP 2017'!BJ64*C61</f>
        <v>23.306298831413219</v>
      </c>
      <c r="C61" s="94">
        <f>$C$6/$BJ$6</f>
        <v>1.6073309538905668E-2</v>
      </c>
      <c r="D61" s="61">
        <f>'Dépenses BP 2017'!BJ64*E61</f>
        <v>0</v>
      </c>
      <c r="E61" s="94">
        <f>$E$6/$BJ$6</f>
        <v>0</v>
      </c>
      <c r="F61" s="61">
        <f>'Dépenses BP 2017'!B64</f>
        <v>23.306298831413219</v>
      </c>
      <c r="G61" s="94">
        <f>'Dépenses BP 2017'!C64</f>
        <v>1.6073309538905668E-2</v>
      </c>
      <c r="H61" s="94"/>
      <c r="I61" s="61">
        <f>'Dépenses BP 2017'!E64</f>
        <v>0</v>
      </c>
      <c r="J61" s="94">
        <f>'Dépenses BP 2017'!F64</f>
        <v>0</v>
      </c>
      <c r="K61" s="61">
        <f>'Dépenses BP 2017'!G64</f>
        <v>23.306298831413219</v>
      </c>
      <c r="L61" s="94">
        <f>'Dépenses BP 2017'!H64</f>
        <v>1.6073309538905668E-2</v>
      </c>
      <c r="M61" s="61"/>
      <c r="N61" s="58"/>
      <c r="O61" s="69">
        <f>'Dépenses BP 2017'!BJ64*P61</f>
        <v>46.476909078391564</v>
      </c>
      <c r="P61" s="92">
        <f>$P$6/$BJ$6</f>
        <v>3.2053040743718321E-2</v>
      </c>
      <c r="Q61" s="69">
        <f>'Dépenses BP 2017'!BJ64*R61</f>
        <v>7.3530903309407307</v>
      </c>
      <c r="R61" s="92">
        <f>$R$6/$BJ$6</f>
        <v>5.0710967799591248E-3</v>
      </c>
      <c r="S61" s="69">
        <f>'Dépenses BP 2017'!BJ64*T61</f>
        <v>4.4246960429163718</v>
      </c>
      <c r="T61" s="92">
        <f>$T$6/$BJ$6</f>
        <v>3.0515145123561184E-3</v>
      </c>
      <c r="U61" s="69">
        <f>'Dépenses BP 2017'!K64</f>
        <v>58.254695452248669</v>
      </c>
      <c r="V61" s="92">
        <f>'Dépenses BP 2017'!L64</f>
        <v>4.0175652036033564E-2</v>
      </c>
      <c r="W61" s="69"/>
      <c r="X61" s="54"/>
      <c r="Y61" s="74">
        <f>'Dépenses BP 2017'!BJ64*Z61</f>
        <v>0</v>
      </c>
      <c r="Z61" s="90">
        <f>$Z$6/$BJ$6</f>
        <v>0</v>
      </c>
      <c r="AA61" s="74">
        <f>'Dépenses BP 2017'!BJ64*AB61</f>
        <v>0</v>
      </c>
      <c r="AB61" s="90">
        <f>$AB$6/$BJ$6</f>
        <v>0</v>
      </c>
      <c r="AC61" s="74">
        <f>'Dépenses BP 2017'!BJ64*AD61</f>
        <v>59.780974883346722</v>
      </c>
      <c r="AD61" s="90">
        <f>$AD$6/$BJ$6</f>
        <v>4.1228258540239121E-2</v>
      </c>
      <c r="AE61" s="128"/>
      <c r="AF61" s="128"/>
      <c r="AG61" s="74">
        <f>'Dépenses BP 2017'!BJ64*AH61</f>
        <v>70.93221383473589</v>
      </c>
      <c r="AH61" s="90">
        <f>$AH$6/$BJ$6</f>
        <v>4.8918768161886818E-2</v>
      </c>
      <c r="AI61" s="74">
        <f>'Dépenses BP 2017'!BJ64*AJ61</f>
        <v>6.4483830758850802</v>
      </c>
      <c r="AJ61" s="90">
        <f>$AJ$6/$BJ$6</f>
        <v>4.4471607419897105E-3</v>
      </c>
      <c r="AK61" s="74">
        <f>'Dépenses BP 2017'!BJ64*AL61</f>
        <v>5.4051268139651373E-2</v>
      </c>
      <c r="AL61" s="90">
        <f>$AL$6/$BJ$6</f>
        <v>3.7276736648035431E-5</v>
      </c>
      <c r="AM61" s="74">
        <f>'Dépenses BP 2017'!BJ64*AN61</f>
        <v>9.7656693030917943</v>
      </c>
      <c r="AN61" s="90">
        <f>$AN$6/$BJ$6</f>
        <v>6.7349443469598581E-3</v>
      </c>
      <c r="AO61" s="74">
        <f>'Dépenses BP 2017'!BJ64*AP61</f>
        <v>16.1209576897127</v>
      </c>
      <c r="AP61" s="342">
        <f>$AP$6/$BJ$6</f>
        <v>1.1117901854974277E-2</v>
      </c>
      <c r="AQ61" s="74">
        <f>'Dépenses BP 2017'!N64</f>
        <v>163.10225005491185</v>
      </c>
      <c r="AR61" s="90">
        <f>'Dépenses BP 2017'!O64</f>
        <v>0.11248431038269782</v>
      </c>
      <c r="AS61" s="133"/>
      <c r="AT61" s="54">
        <f t="shared" si="5"/>
        <v>0</v>
      </c>
      <c r="AU61" s="74">
        <f>'Dépenses BP 2017'!BJ64*AV61</f>
        <v>59.107436145533711</v>
      </c>
      <c r="AV61" s="342">
        <f>$AV$6/$BJ$6</f>
        <v>4.076374906588532E-2</v>
      </c>
      <c r="AW61" s="74">
        <f>'Dépenses BP 2017'!BJ64*AX61</f>
        <v>1.1204065113779973</v>
      </c>
      <c r="AX61" s="342">
        <f t="shared" ref="AX61" si="7">$AX$6/$BJ$6</f>
        <v>7.726941457779291E-4</v>
      </c>
      <c r="AY61" s="74">
        <f>'Dépenses BP 2017'!Q64</f>
        <v>60.227842656911719</v>
      </c>
      <c r="AZ61" s="1540">
        <f>'Dépenses BP 2017'!R64</f>
        <v>4.1536443211663256E-2</v>
      </c>
      <c r="BA61" s="133"/>
      <c r="BB61" s="211"/>
      <c r="BC61" s="78">
        <f>'Dépenses BP 2017'!Q64</f>
        <v>60.227842656911719</v>
      </c>
      <c r="BD61" s="89">
        <f>'Dépenses BP 2017'!R64</f>
        <v>4.1536443211663256E-2</v>
      </c>
      <c r="BE61" s="78"/>
      <c r="BF61" s="54"/>
      <c r="BG61" s="82">
        <f>'Dépenses BP 2017'!T64</f>
        <v>304.89108699548547</v>
      </c>
      <c r="BH61" s="87">
        <f>'Dépenses BP 2017'!U64</f>
        <v>0.21026971516930029</v>
      </c>
      <c r="BI61" s="82"/>
      <c r="BJ61" s="205">
        <f t="shared" si="6"/>
        <v>0</v>
      </c>
      <c r="BK61" s="205"/>
    </row>
    <row r="62" spans="1:64">
      <c r="A62" s="67" t="str">
        <f>'Dépenses BP 2017'!A65</f>
        <v>Achats</v>
      </c>
      <c r="B62" s="62">
        <f>SUM(B63:B66)</f>
        <v>87.59953698703589</v>
      </c>
      <c r="C62" s="62"/>
      <c r="D62" s="62">
        <f>SUM(D63:D66)</f>
        <v>0</v>
      </c>
      <c r="E62" s="62"/>
      <c r="F62" s="62">
        <f>'Dépenses BP 2017'!B65</f>
        <v>87.59953698703589</v>
      </c>
      <c r="G62" s="62"/>
      <c r="H62" s="62"/>
      <c r="I62" s="62">
        <f>'Dépenses BP 2017'!E65</f>
        <v>0</v>
      </c>
      <c r="J62" s="62"/>
      <c r="K62" s="62">
        <f>'Dépenses BP 2017'!G65</f>
        <v>87.59953698703589</v>
      </c>
      <c r="L62" s="62"/>
      <c r="M62" s="62"/>
      <c r="N62" s="58"/>
      <c r="O62" s="73">
        <f>SUM(O63:O66)</f>
        <v>174.68907205326485</v>
      </c>
      <c r="P62" s="62"/>
      <c r="Q62" s="73">
        <f>SUM(Q63:Q66)</f>
        <v>27.637477450777229</v>
      </c>
      <c r="R62" s="62"/>
      <c r="S62" s="62">
        <f>SUM(S63:S66)</f>
        <v>16.630754092340844</v>
      </c>
      <c r="T62" s="62"/>
      <c r="U62" s="62">
        <f>'Dépenses BP 2017'!K65</f>
        <v>218.95730359638293</v>
      </c>
      <c r="V62" s="62"/>
      <c r="W62" s="62"/>
      <c r="X62" s="54"/>
      <c r="Y62" s="73">
        <f>SUM(Y63:Y66)</f>
        <v>0</v>
      </c>
      <c r="Z62" s="73"/>
      <c r="AA62" s="73">
        <f>SUM(AA63:AA66)</f>
        <v>0</v>
      </c>
      <c r="AB62" s="73"/>
      <c r="AC62" s="73">
        <f>SUM(AC63:AC66)</f>
        <v>224.69400904430321</v>
      </c>
      <c r="AD62" s="73"/>
      <c r="AE62" s="73">
        <f>SUM(AE63:AE66)</f>
        <v>0</v>
      </c>
      <c r="AF62" s="73"/>
      <c r="AG62" s="73">
        <f>SUM(AG63:AG66)</f>
        <v>266.60728648228314</v>
      </c>
      <c r="AH62" s="73"/>
      <c r="AI62" s="73">
        <f>SUM(AI63:AI66)</f>
        <v>24.237026043843926</v>
      </c>
      <c r="AJ62" s="73"/>
      <c r="AK62" s="73">
        <f>SUM(AK63:AK66)</f>
        <v>0.2031582147317931</v>
      </c>
      <c r="AL62" s="73"/>
      <c r="AM62" s="73">
        <f>SUM(AM63:AM66)</f>
        <v>36.705446690931225</v>
      </c>
      <c r="AN62" s="73"/>
      <c r="AO62" s="73">
        <f>SUM(AO63:AO66)</f>
        <v>60.592565109609808</v>
      </c>
      <c r="AP62" s="73"/>
      <c r="AQ62" s="73">
        <f>'Dépenses BP 2017'!N65</f>
        <v>613.0394915857031</v>
      </c>
      <c r="AR62" s="88"/>
      <c r="AS62" s="131"/>
      <c r="AT62" s="54">
        <f t="shared" si="5"/>
        <v>0</v>
      </c>
      <c r="AU62" s="73">
        <f>SUM(AU63:AU66)</f>
        <v>222.162432409075</v>
      </c>
      <c r="AV62" s="73"/>
      <c r="AW62" s="73">
        <f>SUM(AW63:AW67)</f>
        <v>4.2111830944897131</v>
      </c>
      <c r="AX62" s="73"/>
      <c r="AY62" s="73">
        <f>'Dépenses BP 2017'!Q65</f>
        <v>226.37361550356474</v>
      </c>
      <c r="AZ62" s="88"/>
      <c r="BA62" s="131" t="str">
        <f>'Dépenses BP 2017'!S65</f>
        <v>/</v>
      </c>
      <c r="BB62" s="211"/>
      <c r="BC62" s="73">
        <f>'Dépenses BP 2017'!Q65</f>
        <v>226.37361550356474</v>
      </c>
      <c r="BD62" s="88"/>
      <c r="BE62" s="73"/>
      <c r="BF62" s="53"/>
      <c r="BG62" s="73">
        <f>'Dépenses BP 2017'!T65</f>
        <v>1145.9699476726867</v>
      </c>
      <c r="BH62" s="73"/>
      <c r="BI62" s="73"/>
      <c r="BJ62" s="205">
        <f t="shared" si="6"/>
        <v>0</v>
      </c>
      <c r="BK62" s="205"/>
    </row>
    <row r="63" spans="1:64">
      <c r="A63" s="1584" t="str">
        <f>'Dépenses BP 2017'!A66</f>
        <v>MEF - Fourniture de carburant</v>
      </c>
      <c r="B63" s="61">
        <f>'Dépenses BP 2017'!BJ66*C63</f>
        <v>18.484305969741516</v>
      </c>
      <c r="C63" s="94">
        <f>$C$6/$BJ$6</f>
        <v>1.6073309538905668E-2</v>
      </c>
      <c r="D63" s="61">
        <f>'Dépenses BP 2017'!BJ66*E63</f>
        <v>0</v>
      </c>
      <c r="E63" s="94">
        <f>$E$6/$BJ$6</f>
        <v>0</v>
      </c>
      <c r="F63" s="61">
        <f>'Dépenses BP 2017'!B66</f>
        <v>18.484305969741516</v>
      </c>
      <c r="G63" s="94">
        <f>'Dépenses BP 2017'!C66</f>
        <v>1.6073309538905668E-2</v>
      </c>
      <c r="H63" s="94"/>
      <c r="I63" s="61">
        <f>'Dépenses BP 2017'!E66</f>
        <v>0</v>
      </c>
      <c r="J63" s="94">
        <f>'Dépenses BP 2017'!F66</f>
        <v>0</v>
      </c>
      <c r="K63" s="61">
        <f>'Dépenses BP 2017'!G66</f>
        <v>18.484305969741516</v>
      </c>
      <c r="L63" s="94">
        <f>'Dépenses BP 2017'!H66</f>
        <v>1.6073309538905668E-2</v>
      </c>
      <c r="M63" s="61"/>
      <c r="N63" s="58"/>
      <c r="O63" s="69">
        <f>'Dépenses BP 2017'!BJ66*P63</f>
        <v>36.860996855276071</v>
      </c>
      <c r="P63" s="92">
        <f>$P$6/$BJ$6</f>
        <v>3.2053040743718321E-2</v>
      </c>
      <c r="Q63" s="69">
        <f>'Dépenses BP 2017'!BJ66*R63</f>
        <v>5.8317612969529939</v>
      </c>
      <c r="R63" s="92">
        <f>$R$6/$BJ$6</f>
        <v>5.0710967799591248E-3</v>
      </c>
      <c r="S63" s="69">
        <f>'Dépenses BP 2017'!BJ66*T63</f>
        <v>3.5092416892095364</v>
      </c>
      <c r="T63" s="92">
        <f>$T$6/$BJ$6</f>
        <v>3.0515145123561184E-3</v>
      </c>
      <c r="U63" s="69">
        <f>'Dépenses BP 2017'!K66</f>
        <v>46.2019998414386</v>
      </c>
      <c r="V63" s="92">
        <f>'Dépenses BP 2017'!L66</f>
        <v>4.0175652036033564E-2</v>
      </c>
      <c r="W63" s="69"/>
      <c r="X63" s="54"/>
      <c r="Y63" s="74">
        <f>'Dépenses BP 2017'!BJ66*Z63</f>
        <v>0</v>
      </c>
      <c r="Z63" s="90">
        <f>$Z$6/$BJ$6</f>
        <v>0</v>
      </c>
      <c r="AA63" s="74">
        <f>'Dépenses BP 2017'!BJ66*AB63</f>
        <v>0</v>
      </c>
      <c r="AB63" s="90">
        <f>$AB$6/$BJ$6</f>
        <v>0</v>
      </c>
      <c r="AC63" s="74">
        <f>'Dépenses BP 2017'!BJ66*AD63</f>
        <v>47.412497321274991</v>
      </c>
      <c r="AD63" s="90">
        <f>$AD$6/$BJ$6</f>
        <v>4.1228258540239121E-2</v>
      </c>
      <c r="AE63" s="128"/>
      <c r="AF63" s="128"/>
      <c r="AG63" s="74">
        <f>'Dépenses BP 2017'!BJ66*AH63</f>
        <v>56.256583386169844</v>
      </c>
      <c r="AH63" s="90">
        <f>$AH$6/$BJ$6</f>
        <v>4.8918768161886818E-2</v>
      </c>
      <c r="AI63" s="74">
        <f>'Dépenses BP 2017'!BJ66*AJ63</f>
        <v>5.114234853288167</v>
      </c>
      <c r="AJ63" s="90">
        <f>$AJ$6/$BJ$6</f>
        <v>4.4471607419897105E-3</v>
      </c>
      <c r="AK63" s="74">
        <f>'Dépenses BP 2017'!BJ66*AL63</f>
        <v>4.2868247145240748E-2</v>
      </c>
      <c r="AL63" s="90">
        <f>$AL$6/$BJ$6</f>
        <v>3.7276736648035431E-5</v>
      </c>
      <c r="AM63" s="74">
        <f>'Dépenses BP 2017'!BJ66*AN63</f>
        <v>7.7451859990038372</v>
      </c>
      <c r="AN63" s="90">
        <f>$AN$6/$BJ$6</f>
        <v>6.7349443469598581E-3</v>
      </c>
      <c r="AO63" s="74">
        <f>'Dépenses BP 2017'!BJ66*AP63</f>
        <v>12.785587133220417</v>
      </c>
      <c r="AP63" s="342">
        <f>$AP$6/$BJ$6</f>
        <v>1.1117901854974277E-2</v>
      </c>
      <c r="AQ63" s="74">
        <f>'Dépenses BP 2017'!N66</f>
        <v>129.35695694010249</v>
      </c>
      <c r="AR63" s="90">
        <f>'Dépenses BP 2017'!O66</f>
        <v>0.11248431038269782</v>
      </c>
      <c r="AS63" s="133"/>
      <c r="AT63" s="54">
        <f t="shared" si="5"/>
        <v>0</v>
      </c>
      <c r="AU63" s="74">
        <f>'Dépenses BP 2017'!BJ66*AV63</f>
        <v>46.878311425768118</v>
      </c>
      <c r="AV63" s="342">
        <f>$AV$6/$BJ$6</f>
        <v>4.076374906588532E-2</v>
      </c>
      <c r="AW63" s="74">
        <f>'Dépenses BP 2017'!BJ66*AX63</f>
        <v>0.88859826764461847</v>
      </c>
      <c r="AX63" s="342">
        <f>$AX$6/$BJ$6</f>
        <v>7.726941457779291E-4</v>
      </c>
      <c r="AY63" s="74">
        <f>'Dépenses BP 2017'!Q66</f>
        <v>47.766909693412742</v>
      </c>
      <c r="AZ63" s="90">
        <f>'Dépenses BP 2017'!R66</f>
        <v>4.1536443211663256E-2</v>
      </c>
      <c r="BA63" s="133"/>
      <c r="BB63" s="211"/>
      <c r="BC63" s="78">
        <f>'Dépenses BP 2017'!Q66</f>
        <v>47.766909693412742</v>
      </c>
      <c r="BD63" s="89">
        <f>'Dépenses BP 2017'!R66</f>
        <v>4.1536443211663256E-2</v>
      </c>
      <c r="BE63" s="78"/>
      <c r="BF63" s="54"/>
      <c r="BG63" s="82">
        <f>'Dépenses BP 2017'!T66</f>
        <v>241.81017244469535</v>
      </c>
      <c r="BH63" s="87">
        <f>'Dépenses BP 2017'!U66</f>
        <v>0.21026971516930029</v>
      </c>
      <c r="BI63" s="82"/>
      <c r="BJ63" s="205">
        <f t="shared" si="6"/>
        <v>0</v>
      </c>
      <c r="BK63" s="205"/>
    </row>
    <row r="64" spans="1:64">
      <c r="A64" s="1584" t="str">
        <f>'Dépenses BP 2017'!A67</f>
        <v>MEF - Ft Petit équipement</v>
      </c>
      <c r="B64" s="61">
        <f>'Dépenses BP 2017'!BJ67*C64</f>
        <v>40.183273847264168</v>
      </c>
      <c r="C64" s="94">
        <f>$C$6/$BJ$6</f>
        <v>1.6073309538905668E-2</v>
      </c>
      <c r="D64" s="61">
        <f>'Dépenses BP 2017'!BJ67*E64</f>
        <v>0</v>
      </c>
      <c r="E64" s="94">
        <f>$E$6/$BJ$6</f>
        <v>0</v>
      </c>
      <c r="F64" s="61">
        <f>'Dépenses BP 2017'!B67</f>
        <v>40.183273847264168</v>
      </c>
      <c r="G64" s="94">
        <f>'Dépenses BP 2017'!C67</f>
        <v>1.6073309538905668E-2</v>
      </c>
      <c r="H64" s="94"/>
      <c r="I64" s="61">
        <f>'Dépenses BP 2017'!E67</f>
        <v>0</v>
      </c>
      <c r="J64" s="94">
        <f>'Dépenses BP 2017'!F67</f>
        <v>0</v>
      </c>
      <c r="K64" s="61">
        <f>'Dépenses BP 2017'!G67</f>
        <v>40.183273847264168</v>
      </c>
      <c r="L64" s="94">
        <f>'Dépenses BP 2017'!H67</f>
        <v>1.6073309538905668E-2</v>
      </c>
      <c r="M64" s="61"/>
      <c r="N64" s="58"/>
      <c r="O64" s="69">
        <f>'Dépenses BP 2017'!BJ67*P64</f>
        <v>80.132601859295804</v>
      </c>
      <c r="P64" s="92">
        <f>$P$6/$BJ$6</f>
        <v>3.2053040743718321E-2</v>
      </c>
      <c r="Q64" s="69">
        <f>'Dépenses BP 2017'!BJ67*R64</f>
        <v>12.677741949897811</v>
      </c>
      <c r="R64" s="92">
        <f>$R$6/$BJ$6</f>
        <v>5.0710967799591248E-3</v>
      </c>
      <c r="S64" s="69">
        <f>'Dépenses BP 2017'!BJ67*T64</f>
        <v>7.6287862808902958</v>
      </c>
      <c r="T64" s="92">
        <f>$T$6/$BJ$6</f>
        <v>3.0515145123561184E-3</v>
      </c>
      <c r="U64" s="69">
        <f>'Dépenses BP 2017'!K67</f>
        <v>100.43913009008391</v>
      </c>
      <c r="V64" s="92">
        <f>'Dépenses BP 2017'!L67</f>
        <v>4.0175652036033564E-2</v>
      </c>
      <c r="W64" s="69"/>
      <c r="X64" s="54"/>
      <c r="Y64" s="74">
        <f>'Dépenses BP 2017'!BJ67*Z64</f>
        <v>0</v>
      </c>
      <c r="Z64" s="90">
        <f>$Z$6/$BJ$6</f>
        <v>0</v>
      </c>
      <c r="AA64" s="74">
        <f>'Dépenses BP 2017'!BJ67*AB64</f>
        <v>0</v>
      </c>
      <c r="AB64" s="90">
        <f>$AB$6/$BJ$6</f>
        <v>0</v>
      </c>
      <c r="AC64" s="74">
        <f>'Dépenses BP 2017'!BJ67*AD64</f>
        <v>103.0706463505978</v>
      </c>
      <c r="AD64" s="90">
        <f>$AD$6/$BJ$6</f>
        <v>4.1228258540239121E-2</v>
      </c>
      <c r="AE64" s="128"/>
      <c r="AF64" s="128"/>
      <c r="AG64" s="74">
        <f>'Dépenses BP 2017'!BJ67*AH64</f>
        <v>122.29692040471704</v>
      </c>
      <c r="AH64" s="90">
        <f>$AH$6/$BJ$6</f>
        <v>4.8918768161886818E-2</v>
      </c>
      <c r="AI64" s="74">
        <f>'Dépenses BP 2017'!BJ67*AJ64</f>
        <v>11.117901854974276</v>
      </c>
      <c r="AJ64" s="90">
        <f>$AJ$6/$BJ$6</f>
        <v>4.4471607419897105E-3</v>
      </c>
      <c r="AK64" s="74">
        <f>'Dépenses BP 2017'!BJ67*AL64</f>
        <v>9.3191841620088575E-2</v>
      </c>
      <c r="AL64" s="90">
        <f>$AL$6/$BJ$6</f>
        <v>3.7276736648035431E-5</v>
      </c>
      <c r="AM64" s="74">
        <f>'Dépenses BP 2017'!BJ67*AN64</f>
        <v>16.837360867399646</v>
      </c>
      <c r="AN64" s="90">
        <f>$AN$6/$BJ$6</f>
        <v>6.7349443469598581E-3</v>
      </c>
      <c r="AO64" s="74">
        <f>'Dépenses BP 2017'!BJ67*AP64</f>
        <v>27.794754637435691</v>
      </c>
      <c r="AP64" s="342">
        <f>$AP$6/$BJ$6</f>
        <v>1.1117901854974277E-2</v>
      </c>
      <c r="AQ64" s="74">
        <f>'Dépenses BP 2017'!N67</f>
        <v>281.21077595674456</v>
      </c>
      <c r="AR64" s="90">
        <f>'Dépenses BP 2017'!O67</f>
        <v>0.11248431038269782</v>
      </c>
      <c r="AS64" s="133"/>
      <c r="AT64" s="54">
        <f t="shared" si="5"/>
        <v>0</v>
      </c>
      <c r="AU64" s="74">
        <f>'Dépenses BP 2017'!BJ67*AV64</f>
        <v>101.9093726647133</v>
      </c>
      <c r="AV64" s="342">
        <f>$AV$6/$BJ$6</f>
        <v>4.076374906588532E-2</v>
      </c>
      <c r="AW64" s="74">
        <f>'Dépenses BP 2017'!BJ67*AX64</f>
        <v>1.9317353644448227</v>
      </c>
      <c r="AX64" s="342">
        <f>$AX$6/$BJ$6</f>
        <v>7.726941457779291E-4</v>
      </c>
      <c r="AY64" s="74">
        <f>'Dépenses BP 2017'!Q67</f>
        <v>103.84110802915814</v>
      </c>
      <c r="AZ64" s="90">
        <f>'Dépenses BP 2017'!R67</f>
        <v>4.1536443211663256E-2</v>
      </c>
      <c r="BA64" s="133"/>
      <c r="BB64" s="211"/>
      <c r="BC64" s="78">
        <f>'Dépenses BP 2017'!Q67</f>
        <v>103.84110802915814</v>
      </c>
      <c r="BD64" s="89">
        <f>'Dépenses BP 2017'!R67</f>
        <v>4.1536443211663256E-2</v>
      </c>
      <c r="BE64" s="78"/>
      <c r="BF64" s="54"/>
      <c r="BG64" s="82">
        <f>'Dépenses BP 2017'!T67</f>
        <v>525.67428792325074</v>
      </c>
      <c r="BH64" s="87">
        <f>'Dépenses BP 2017'!U67</f>
        <v>0.21026971516930029</v>
      </c>
      <c r="BI64" s="82"/>
      <c r="BJ64" s="205">
        <f t="shared" si="6"/>
        <v>0</v>
      </c>
      <c r="BK64" s="205"/>
    </row>
    <row r="65" spans="1:63">
      <c r="A65" s="1584" t="str">
        <f>'Dépenses BP 2017'!A68</f>
        <v>ML - Ft Petit équipement</v>
      </c>
      <c r="B65" s="61"/>
      <c r="C65" s="94"/>
      <c r="D65" s="61"/>
      <c r="E65" s="94"/>
      <c r="F65" s="61"/>
      <c r="G65" s="94"/>
      <c r="H65" s="94"/>
      <c r="I65" s="61"/>
      <c r="J65" s="94"/>
      <c r="K65" s="61"/>
      <c r="L65" s="94"/>
      <c r="M65" s="61"/>
      <c r="N65" s="58"/>
      <c r="O65" s="69"/>
      <c r="P65" s="92"/>
      <c r="Q65" s="69"/>
      <c r="R65" s="92"/>
      <c r="S65" s="69"/>
      <c r="T65" s="92"/>
      <c r="U65" s="69"/>
      <c r="V65" s="92"/>
      <c r="W65" s="69"/>
      <c r="X65" s="54"/>
      <c r="Y65" s="74"/>
      <c r="Z65" s="90"/>
      <c r="AA65" s="74"/>
      <c r="AB65" s="90"/>
      <c r="AC65" s="74"/>
      <c r="AD65" s="90"/>
      <c r="AE65" s="128"/>
      <c r="AF65" s="128"/>
      <c r="AG65" s="74"/>
      <c r="AH65" s="90"/>
      <c r="AI65" s="74"/>
      <c r="AJ65" s="90"/>
      <c r="AK65" s="74"/>
      <c r="AL65" s="90"/>
      <c r="AM65" s="74"/>
      <c r="AN65" s="90"/>
      <c r="AO65" s="74"/>
      <c r="AP65" s="342"/>
      <c r="AQ65" s="74"/>
      <c r="AR65" s="90"/>
      <c r="AS65" s="133"/>
      <c r="AT65" s="54">
        <f t="shared" si="5"/>
        <v>0</v>
      </c>
      <c r="AU65" s="74"/>
      <c r="AV65" s="342"/>
      <c r="AW65" s="74"/>
      <c r="AX65" s="342"/>
      <c r="AY65" s="74"/>
      <c r="AZ65" s="90"/>
      <c r="BA65" s="133"/>
      <c r="BB65" s="211"/>
      <c r="BC65" s="78"/>
      <c r="BD65" s="89"/>
      <c r="BE65" s="78"/>
      <c r="BF65" s="54"/>
      <c r="BG65" s="82"/>
      <c r="BH65" s="87"/>
      <c r="BI65" s="82"/>
      <c r="BJ65" s="205">
        <f t="shared" si="6"/>
        <v>0</v>
      </c>
      <c r="BK65" s="205"/>
    </row>
    <row r="66" spans="1:63">
      <c r="A66" s="1584" t="str">
        <f>'Dépenses BP 2017'!A69</f>
        <v xml:space="preserve">MEF - Ft administratives </v>
      </c>
      <c r="B66" s="61">
        <f>'Dépenses BP 2017'!BJ69*C66</f>
        <v>28.931957170030202</v>
      </c>
      <c r="C66" s="94">
        <f>$C$6/$BJ$6</f>
        <v>1.6073309538905668E-2</v>
      </c>
      <c r="D66" s="61">
        <f>'Dépenses BP 2017'!BJ69*E66</f>
        <v>0</v>
      </c>
      <c r="E66" s="94">
        <f>$E$6/$BJ$6</f>
        <v>0</v>
      </c>
      <c r="F66" s="61">
        <f>'Dépenses BP 2017'!B69</f>
        <v>28.931957170030202</v>
      </c>
      <c r="G66" s="94">
        <f>'Dépenses BP 2017'!C69</f>
        <v>1.6073309538905668E-2</v>
      </c>
      <c r="H66" s="94"/>
      <c r="I66" s="61" t="e">
        <f>'Dépenses BP 2017'!#REF!</f>
        <v>#REF!</v>
      </c>
      <c r="J66" s="94" t="e">
        <f>'Dépenses BP 2017'!#REF!</f>
        <v>#REF!</v>
      </c>
      <c r="K66" s="61" t="e">
        <f>'Dépenses BP 2017'!#REF!</f>
        <v>#REF!</v>
      </c>
      <c r="L66" s="94" t="e">
        <f>'Dépenses BP 2017'!#REF!</f>
        <v>#REF!</v>
      </c>
      <c r="M66" s="61"/>
      <c r="N66" s="58"/>
      <c r="O66" s="69">
        <f>'Dépenses BP 2017'!BJ69*P66</f>
        <v>57.695473338692977</v>
      </c>
      <c r="P66" s="92">
        <f>$P$6/$BJ$6</f>
        <v>3.2053040743718321E-2</v>
      </c>
      <c r="Q66" s="69">
        <f>'Dépenses BP 2017'!BJ69*R66</f>
        <v>9.1279742039264242</v>
      </c>
      <c r="R66" s="92">
        <f>$R$6/$BJ$6</f>
        <v>5.0710967799591248E-3</v>
      </c>
      <c r="S66" s="69">
        <f>'Dépenses BP 2017'!BJ69*T66</f>
        <v>5.4927261222410131</v>
      </c>
      <c r="T66" s="92">
        <f>$T$6/$BJ$6</f>
        <v>3.0515145123561184E-3</v>
      </c>
      <c r="U66" s="69">
        <f>'Dépenses BP 2017'!K69</f>
        <v>72.316173664860415</v>
      </c>
      <c r="V66" s="92">
        <f>'Dépenses BP 2017'!L69</f>
        <v>4.0175652036033564E-2</v>
      </c>
      <c r="W66" s="69"/>
      <c r="X66" s="54"/>
      <c r="Y66" s="74">
        <f>'Dépenses BP 2017'!BJ69*Z66</f>
        <v>0</v>
      </c>
      <c r="Z66" s="90">
        <f>$Z$6/$BJ$6</f>
        <v>0</v>
      </c>
      <c r="AA66" s="74">
        <f>'Dépenses BP 2017'!BJ69*AB66</f>
        <v>0</v>
      </c>
      <c r="AB66" s="90">
        <f>$AB$6/$BJ$6</f>
        <v>0</v>
      </c>
      <c r="AC66" s="74">
        <f>'Dépenses BP 2017'!BJ69*AD66</f>
        <v>74.210865372430419</v>
      </c>
      <c r="AD66" s="90">
        <f>$AD$6/$BJ$6</f>
        <v>4.1228258540239121E-2</v>
      </c>
      <c r="AE66" s="128"/>
      <c r="AF66" s="128"/>
      <c r="AG66" s="74">
        <f>'Dépenses BP 2017'!BJ69*AH66</f>
        <v>88.053782691396279</v>
      </c>
      <c r="AH66" s="90">
        <f>$AH$6/$BJ$6</f>
        <v>4.8918768161886818E-2</v>
      </c>
      <c r="AI66" s="74">
        <f>'Dépenses BP 2017'!BJ69*AJ66</f>
        <v>8.0048893355814794</v>
      </c>
      <c r="AJ66" s="90">
        <f>$AJ$6/$BJ$6</f>
        <v>4.4471607419897105E-3</v>
      </c>
      <c r="AK66" s="74">
        <f>'Dépenses BP 2017'!BJ69*AL66</f>
        <v>6.7098125966463779E-2</v>
      </c>
      <c r="AL66" s="90">
        <f>$AL$6/$BJ$6</f>
        <v>3.7276736648035431E-5</v>
      </c>
      <c r="AM66" s="74">
        <f>'Dépenses BP 2017'!BJ69*AN66</f>
        <v>12.122899824527744</v>
      </c>
      <c r="AN66" s="90">
        <f>$AN$6/$BJ$6</f>
        <v>6.7349443469598581E-3</v>
      </c>
      <c r="AO66" s="74">
        <f>'Dépenses BP 2017'!BJ69*AP66</f>
        <v>20.012223338953699</v>
      </c>
      <c r="AP66" s="342">
        <f>$AP$6/$BJ$6</f>
        <v>1.1117901854974277E-2</v>
      </c>
      <c r="AQ66" s="74">
        <f>'Dépenses BP 2017'!N69</f>
        <v>202.47175868885608</v>
      </c>
      <c r="AR66" s="90">
        <f>'Dépenses BP 2017'!O69</f>
        <v>0.11248431038269782</v>
      </c>
      <c r="AS66" s="133"/>
      <c r="AT66" s="54">
        <f t="shared" si="5"/>
        <v>0</v>
      </c>
      <c r="AU66" s="74">
        <f>'Dépenses BP 2017'!BJ69*AV66</f>
        <v>73.374748318593575</v>
      </c>
      <c r="AV66" s="342">
        <f>$AV$6/$BJ$6</f>
        <v>4.076374906588532E-2</v>
      </c>
      <c r="AW66" s="74">
        <f>'Dépenses BP 2017'!BJ69*AX66</f>
        <v>1.3908494624002723</v>
      </c>
      <c r="AX66" s="342">
        <f t="shared" ref="AX66" si="8">$AX$6/$BJ$6</f>
        <v>7.726941457779291E-4</v>
      </c>
      <c r="AY66" s="74">
        <f>'Dépenses BP 2017'!Q69</f>
        <v>74.765597780993858</v>
      </c>
      <c r="AZ66" s="90">
        <f>'Dépenses BP 2017'!R69</f>
        <v>4.1536443211663256E-2</v>
      </c>
      <c r="BA66" s="133"/>
      <c r="BB66" s="211"/>
      <c r="BC66" s="78" t="e">
        <f>'Dépenses BP 2017'!#REF!</f>
        <v>#REF!</v>
      </c>
      <c r="BD66" s="89" t="e">
        <f>'Dépenses BP 2017'!#REF!</f>
        <v>#REF!</v>
      </c>
      <c r="BE66" s="78"/>
      <c r="BF66" s="54"/>
      <c r="BG66" s="82">
        <f>'Dépenses BP 2017'!T69</f>
        <v>378.48548730474056</v>
      </c>
      <c r="BH66" s="87">
        <f>'Dépenses BP 2017'!U69</f>
        <v>0.21026971516930029</v>
      </c>
      <c r="BI66" s="82"/>
      <c r="BJ66" s="205">
        <f t="shared" si="6"/>
        <v>0</v>
      </c>
      <c r="BK66" s="205"/>
    </row>
    <row r="67" spans="1:63">
      <c r="A67" s="1584" t="str">
        <f>'Dépenses BP 2017'!A70</f>
        <v>ML - FTt Ad GJ</v>
      </c>
      <c r="B67" s="61"/>
      <c r="C67" s="94"/>
      <c r="D67" s="61"/>
      <c r="E67" s="94"/>
      <c r="F67" s="61"/>
      <c r="G67" s="94"/>
      <c r="H67" s="94"/>
      <c r="I67" s="61"/>
      <c r="J67" s="94"/>
      <c r="K67" s="61"/>
      <c r="L67" s="94"/>
      <c r="M67" s="61"/>
      <c r="N67" s="58"/>
      <c r="O67" s="69"/>
      <c r="P67" s="92"/>
      <c r="Q67" s="69"/>
      <c r="R67" s="92"/>
      <c r="S67" s="69"/>
      <c r="T67" s="92"/>
      <c r="U67" s="69"/>
      <c r="V67" s="92"/>
      <c r="W67" s="69"/>
      <c r="X67" s="54"/>
      <c r="Y67" s="74"/>
      <c r="Z67" s="90"/>
      <c r="AA67" s="74"/>
      <c r="AB67" s="90"/>
      <c r="AC67" s="74"/>
      <c r="AD67" s="90"/>
      <c r="AE67" s="128"/>
      <c r="AF67" s="128"/>
      <c r="AG67" s="74"/>
      <c r="AH67" s="90"/>
      <c r="AI67" s="74"/>
      <c r="AJ67" s="90"/>
      <c r="AK67" s="74"/>
      <c r="AL67" s="90"/>
      <c r="AM67" s="74"/>
      <c r="AN67" s="90"/>
      <c r="AO67" s="74"/>
      <c r="AP67" s="342"/>
      <c r="AQ67" s="74"/>
      <c r="AR67" s="90"/>
      <c r="AS67" s="133"/>
      <c r="AT67" s="54">
        <f t="shared" si="5"/>
        <v>0</v>
      </c>
      <c r="AU67" s="74"/>
      <c r="AV67" s="342"/>
      <c r="AW67" s="342"/>
      <c r="AX67" s="342"/>
      <c r="AY67" s="74"/>
      <c r="AZ67" s="90"/>
      <c r="BA67" s="133"/>
      <c r="BB67" s="211"/>
      <c r="BC67" s="78"/>
      <c r="BD67" s="89"/>
      <c r="BE67" s="78"/>
      <c r="BF67" s="54"/>
      <c r="BG67" s="82"/>
      <c r="BH67" s="87"/>
      <c r="BI67" s="82"/>
      <c r="BJ67" s="205">
        <f t="shared" si="6"/>
        <v>0</v>
      </c>
      <c r="BK67" s="205"/>
    </row>
    <row r="68" spans="1:63">
      <c r="A68" s="67" t="str">
        <f>'Dépenses BP 2017'!A71</f>
        <v>Services extérieurs</v>
      </c>
      <c r="B68" s="62">
        <f>SUM(B69:B88)</f>
        <v>1907.2197830281746</v>
      </c>
      <c r="C68" s="93"/>
      <c r="D68" s="62">
        <f>SUM(D69:D88)</f>
        <v>0</v>
      </c>
      <c r="E68" s="93"/>
      <c r="F68" s="62">
        <f>'Dépenses BP 2017'!B71</f>
        <v>1907.2197830281746</v>
      </c>
      <c r="G68" s="93"/>
      <c r="H68" s="93"/>
      <c r="I68" s="62">
        <f>'Dépenses BP 2017'!E71</f>
        <v>0</v>
      </c>
      <c r="J68" s="93"/>
      <c r="K68" s="62">
        <f>'Dépenses BP 2017'!G71</f>
        <v>1907.2197830281746</v>
      </c>
      <c r="L68" s="93"/>
      <c r="M68" s="62" t="str">
        <f>'Dépenses BP 2017'!I71</f>
        <v>/</v>
      </c>
      <c r="N68" s="58"/>
      <c r="O68" s="73">
        <f>SUM(O69:O88)</f>
        <v>3803.3357887282882</v>
      </c>
      <c r="P68" s="73"/>
      <c r="Q68" s="73">
        <f>SUM(Q69:Q88)</f>
        <v>601.7239994649542</v>
      </c>
      <c r="R68" s="62"/>
      <c r="S68" s="62">
        <f>SUM(S69:S89)</f>
        <v>362.08528381015691</v>
      </c>
      <c r="T68" s="62"/>
      <c r="U68" s="62">
        <f>'Dépenses BP 2017'!K71</f>
        <v>4767.1450720033981</v>
      </c>
      <c r="V68" s="93"/>
      <c r="W68" s="62" t="str">
        <f>'Dépenses BP 2017'!M71</f>
        <v>/</v>
      </c>
      <c r="X68" s="54"/>
      <c r="Y68" s="73">
        <f>SUM(Y69:Y88)</f>
        <v>0</v>
      </c>
      <c r="Z68" s="73"/>
      <c r="AA68" s="73">
        <f>SUM(AA69:AA88)</f>
        <v>0</v>
      </c>
      <c r="AB68" s="73"/>
      <c r="AC68" s="73">
        <f>SUM(AC69:AC88)</f>
        <v>4892.0447974585486</v>
      </c>
      <c r="AD68" s="73"/>
      <c r="AE68" s="73"/>
      <c r="AF68" s="73"/>
      <c r="AG68" s="73">
        <f>SUM(AG69:AG88)</f>
        <v>5804.5819483466184</v>
      </c>
      <c r="AH68" s="73"/>
      <c r="AI68" s="73">
        <f>SUM(AI69:AI88)</f>
        <v>527.68926803151078</v>
      </c>
      <c r="AJ68" s="73"/>
      <c r="AK68" s="73">
        <f>SUM(AK69:AK88)</f>
        <v>4.4231668288212997</v>
      </c>
      <c r="AL68" s="73"/>
      <c r="AM68" s="73">
        <f>SUM(AM69:AM88)</f>
        <v>799.1521015024357</v>
      </c>
      <c r="AN68" s="88"/>
      <c r="AO68" s="73">
        <f>SUM(AO69:AO88)</f>
        <v>1319.2231700787777</v>
      </c>
      <c r="AP68" s="73"/>
      <c r="AQ68" s="73">
        <f>'Dépenses BP 2017'!N71</f>
        <v>13347.114452246715</v>
      </c>
      <c r="AR68" s="88"/>
      <c r="AS68" s="131" t="str">
        <f>'Dépenses BP 2017'!P71</f>
        <v>/</v>
      </c>
      <c r="AT68" s="54">
        <f t="shared" si="5"/>
        <v>0</v>
      </c>
      <c r="AU68" s="73">
        <f>SUM(AU69:AU89)</f>
        <v>5253.0396467756082</v>
      </c>
      <c r="AV68" s="88"/>
      <c r="AW68" s="73">
        <f>SUM(AW69:AW89)</f>
        <v>99.573593587833059</v>
      </c>
      <c r="AX68" s="88"/>
      <c r="AY68" s="73">
        <f>'Dépenses BP 2017'!Q71</f>
        <v>5352.6132403634419</v>
      </c>
      <c r="AZ68" s="88"/>
      <c r="BA68" s="131" t="str">
        <f>'Dépenses BP 2017'!S71</f>
        <v>/</v>
      </c>
      <c r="BB68" s="211"/>
      <c r="BC68" s="73">
        <f>'Dépenses BP 2017'!Q71</f>
        <v>5352.6132403634419</v>
      </c>
      <c r="BD68" s="88"/>
      <c r="BE68" s="73" t="str">
        <f>'Dépenses BP 2017'!S71</f>
        <v>/</v>
      </c>
      <c r="BF68" s="53"/>
      <c r="BG68" s="73">
        <f>'Dépenses BP 2017'!T71</f>
        <v>25374.092547641725</v>
      </c>
      <c r="BH68" s="88"/>
      <c r="BI68" s="73"/>
      <c r="BJ68" s="205">
        <f t="shared" si="6"/>
        <v>0</v>
      </c>
      <c r="BK68" s="205"/>
    </row>
    <row r="69" spans="1:63">
      <c r="A69" s="1584" t="str">
        <f>'Dépenses BP 2017'!A72</f>
        <v xml:space="preserve">ML - Location immobilière </v>
      </c>
      <c r="B69" s="61"/>
      <c r="C69" s="94"/>
      <c r="D69" s="61"/>
      <c r="E69" s="94"/>
      <c r="F69" s="61"/>
      <c r="G69" s="94"/>
      <c r="H69" s="94"/>
      <c r="I69" s="61"/>
      <c r="J69" s="94"/>
      <c r="K69" s="61"/>
      <c r="L69" s="94"/>
      <c r="M69" s="61"/>
      <c r="N69" s="58"/>
      <c r="O69" s="69"/>
      <c r="P69" s="92"/>
      <c r="Q69" s="69"/>
      <c r="R69" s="92"/>
      <c r="S69" s="92"/>
      <c r="T69" s="92"/>
      <c r="U69" s="69"/>
      <c r="V69" s="92"/>
      <c r="W69" s="69"/>
      <c r="X69" s="54"/>
      <c r="Y69" s="74"/>
      <c r="Z69" s="90"/>
      <c r="AA69" s="74"/>
      <c r="AB69" s="90"/>
      <c r="AC69" s="74"/>
      <c r="AD69" s="90"/>
      <c r="AE69" s="128"/>
      <c r="AF69" s="128"/>
      <c r="AG69" s="90"/>
      <c r="AH69" s="90"/>
      <c r="AI69" s="74"/>
      <c r="AJ69" s="90"/>
      <c r="AK69" s="74"/>
      <c r="AL69" s="90"/>
      <c r="AM69" s="74"/>
      <c r="AN69" s="90"/>
      <c r="AO69" s="90"/>
      <c r="AP69" s="90"/>
      <c r="AQ69" s="74"/>
      <c r="AR69" s="90"/>
      <c r="AS69" s="133"/>
      <c r="AT69" s="54">
        <f t="shared" si="5"/>
        <v>0</v>
      </c>
      <c r="AU69" s="74"/>
      <c r="AV69" s="90"/>
      <c r="AW69" s="90"/>
      <c r="AX69" s="90"/>
      <c r="AY69" s="74"/>
      <c r="AZ69" s="90"/>
      <c r="BA69" s="133"/>
      <c r="BB69" s="211"/>
      <c r="BC69" s="78"/>
      <c r="BD69" s="89"/>
      <c r="BE69" s="78"/>
      <c r="BF69" s="53"/>
      <c r="BG69" s="82"/>
      <c r="BH69" s="87"/>
      <c r="BI69" s="82"/>
      <c r="BJ69" s="205">
        <f t="shared" si="6"/>
        <v>0</v>
      </c>
      <c r="BK69" s="205"/>
    </row>
    <row r="70" spans="1:63">
      <c r="A70" s="1584" t="str">
        <f>'Dépenses BP 2017'!A73</f>
        <v xml:space="preserve">MDE - Location immobilière </v>
      </c>
      <c r="B70" s="61">
        <f>'Dépenses BP 2017'!BJ73*C70</f>
        <v>1650.6093962395457</v>
      </c>
      <c r="C70" s="94">
        <f>$C$6/($BI$6+$BK$6)</f>
        <v>6.5078507260021998E-2</v>
      </c>
      <c r="D70" s="61">
        <f>'Dépenses BP 2017'!BJ73*E70</f>
        <v>0</v>
      </c>
      <c r="E70" s="94">
        <f>$E$6/($BI$6+$BK$6)</f>
        <v>0</v>
      </c>
      <c r="F70" s="61">
        <f>'Dépenses BP 2017'!B73</f>
        <v>1650.6093962395457</v>
      </c>
      <c r="G70" s="94">
        <f>'Dépenses BP 2017'!C73</f>
        <v>6.5078507260021998E-2</v>
      </c>
      <c r="H70" s="94"/>
      <c r="I70" s="61">
        <f>'Dépenses BP 2017'!E73</f>
        <v>0</v>
      </c>
      <c r="J70" s="94">
        <f>'Dépenses BP 2017'!F73</f>
        <v>0</v>
      </c>
      <c r="K70" s="61">
        <f>'Dépenses BP 2017'!G73</f>
        <v>1650.6093962395457</v>
      </c>
      <c r="L70" s="94">
        <f>'Dépenses BP 2017'!H73</f>
        <v>6.5078507260021998E-2</v>
      </c>
      <c r="M70" s="61"/>
      <c r="N70" s="58"/>
      <c r="O70" s="69">
        <f>'Dépenses BP 2017'!BJ73*P70</f>
        <v>3291.6089932548248</v>
      </c>
      <c r="P70" s="92">
        <f>$P$6/($BI$6+$BK$6)</f>
        <v>0.12977812937010569</v>
      </c>
      <c r="Q70" s="69">
        <f>'Dépenses BP 2017'!BJ73*R70</f>
        <v>520.76393937290675</v>
      </c>
      <c r="R70" s="92">
        <f>$R$6/($BI$6+$BK$6)</f>
        <v>2.0532137940355563E-2</v>
      </c>
      <c r="S70" s="69">
        <f>'Dépenses BP 2017'!BJ73*T70</f>
        <v>313.36785462039154</v>
      </c>
      <c r="T70" s="92">
        <f>$T$6/($BI$6+$BK$6)</f>
        <v>1.2355141227495502E-2</v>
      </c>
      <c r="U70" s="69">
        <f>'Dépenses BP 2017'!K73</f>
        <v>4125.7407872481226</v>
      </c>
      <c r="V70" s="92">
        <f>'Dépenses BP 2017'!L73</f>
        <v>0.16266540853795675</v>
      </c>
      <c r="W70" s="69"/>
      <c r="X70" s="54"/>
      <c r="Y70" s="74">
        <f>'Dépenses BP 2017'!BJ73*Z70</f>
        <v>0</v>
      </c>
      <c r="Z70" s="90">
        <f>$Z$6/($BI$6+$BK$6)</f>
        <v>0</v>
      </c>
      <c r="AA70" s="74">
        <f>'Dépenses BP 2017'!BJ73*AB70</f>
        <v>0</v>
      </c>
      <c r="AB70" s="90">
        <f>$AB$6/($BI$6+$BK$6)</f>
        <v>0</v>
      </c>
      <c r="AC70" s="74">
        <f>'Dépenses BP 2017'!BJ73*AD70</f>
        <v>4233.8356498636313</v>
      </c>
      <c r="AD70" s="90">
        <f>$AD$6/($BI$6+$BK$6)</f>
        <v>0.16692726014108036</v>
      </c>
      <c r="AE70" s="128"/>
      <c r="AF70" s="128"/>
      <c r="AG70" s="74">
        <f>'Dépenses BP 2017'!BJ73*AH70</f>
        <v>5023.5938146420958</v>
      </c>
      <c r="AH70" s="90">
        <f>$AH$6/($BI$6+$BK$6)</f>
        <v>0.19806502209571911</v>
      </c>
      <c r="AI70" s="74">
        <f>'Dépenses BP 2017'!BJ73*AJ70</f>
        <v>456.69034678564498</v>
      </c>
      <c r="AJ70" s="90">
        <f>$AJ$6/($BI$6+$BK$6)</f>
        <v>1.8005911099610826E-2</v>
      </c>
      <c r="AK70" s="74">
        <f>'Dépenses BP 2017'!BJ73*AL70</f>
        <v>3.8280437282354147</v>
      </c>
      <c r="AL70" s="90">
        <f>$AL$6/($BI$6+$BK$6)</f>
        <v>1.509281191099532E-4</v>
      </c>
      <c r="AM70" s="74">
        <f>'Dépenses BP 2017'!BJ73*AN70</f>
        <v>691.6287150032216</v>
      </c>
      <c r="AN70" s="90">
        <f>$AN$6/($BI$6+$BK$6)</f>
        <v>2.7268816264538406E-2</v>
      </c>
      <c r="AO70" s="74">
        <f>'Dépenses BP 2017'!BJ73*AP70</f>
        <v>1141.7258669641128</v>
      </c>
      <c r="AP70" s="90">
        <f>$AP$6/($BI$6+$BK$6)</f>
        <v>4.5014777749027075E-2</v>
      </c>
      <c r="AQ70" s="74">
        <f>'Dépenses BP 2017'!N73</f>
        <v>11551.302436986944</v>
      </c>
      <c r="AR70" s="90">
        <f>'Dépenses BP 2017'!O73</f>
        <v>0.45543271546908581</v>
      </c>
      <c r="AS70" s="133"/>
      <c r="AT70" s="54">
        <f t="shared" si="5"/>
        <v>0</v>
      </c>
      <c r="AU70" s="74">
        <f>'Dépenses BP 2017'!BJ73*AV70</f>
        <v>4186.1339801387494</v>
      </c>
      <c r="AV70" s="90">
        <f>$AV$6/($BI$6+$BK$6)</f>
        <v>0.16504652841461723</v>
      </c>
      <c r="AW70" s="74">
        <f>'Dépenses BP 2017'!BJ73*AX70</f>
        <v>79.3499443504884</v>
      </c>
      <c r="AX70" s="90">
        <f>$AX$6/($BI$6+$BK$6)</f>
        <v>3.128526919367043E-3</v>
      </c>
      <c r="AY70" s="74">
        <f>'Dépenses BP 2017'!Q73</f>
        <v>4265.4839244892382</v>
      </c>
      <c r="AZ70" s="90">
        <f>'Dépenses BP 2017'!R73</f>
        <v>0.16817505533398427</v>
      </c>
      <c r="BA70" s="133"/>
      <c r="BB70" s="211"/>
      <c r="BC70" s="78">
        <f>'Dépenses BP 2017'!Q73</f>
        <v>4265.4839244892382</v>
      </c>
      <c r="BD70" s="89">
        <f>'Dépenses BP 2017'!R73</f>
        <v>0.16817505533398427</v>
      </c>
      <c r="BE70" s="78"/>
      <c r="BF70" s="53"/>
      <c r="BG70" s="82">
        <f>'Dépenses BP 2017'!T73</f>
        <v>21593.136544963851</v>
      </c>
      <c r="BH70" s="87">
        <f>'Dépenses BP 2017'!U73</f>
        <v>0.85135168660104887</v>
      </c>
      <c r="BI70" s="82"/>
      <c r="BJ70" s="205">
        <f t="shared" si="6"/>
        <v>0</v>
      </c>
      <c r="BK70" s="205"/>
    </row>
    <row r="71" spans="1:63">
      <c r="A71" s="1584" t="str">
        <f>'Dépenses BP 2017'!A74</f>
        <v>Location Logiciel Bull - Parcours 3</v>
      </c>
      <c r="B71" s="61"/>
      <c r="C71" s="94"/>
      <c r="D71" s="61"/>
      <c r="E71" s="94"/>
      <c r="F71" s="61"/>
      <c r="G71" s="94"/>
      <c r="H71" s="94"/>
      <c r="I71" s="61"/>
      <c r="J71" s="94"/>
      <c r="K71" s="61"/>
      <c r="L71" s="94"/>
      <c r="M71" s="61"/>
      <c r="N71" s="58"/>
      <c r="O71" s="69"/>
      <c r="P71" s="92"/>
      <c r="Q71" s="69"/>
      <c r="R71" s="92"/>
      <c r="S71" s="69"/>
      <c r="T71" s="92"/>
      <c r="U71" s="69"/>
      <c r="V71" s="92"/>
      <c r="W71" s="69"/>
      <c r="X71" s="54"/>
      <c r="Y71" s="74"/>
      <c r="Z71" s="90"/>
      <c r="AA71" s="74"/>
      <c r="AB71" s="90"/>
      <c r="AC71" s="74"/>
      <c r="AD71" s="90"/>
      <c r="AE71" s="128"/>
      <c r="AF71" s="128"/>
      <c r="AG71" s="90"/>
      <c r="AH71" s="90"/>
      <c r="AI71" s="74"/>
      <c r="AJ71" s="90"/>
      <c r="AK71" s="74"/>
      <c r="AL71" s="90"/>
      <c r="AM71" s="74"/>
      <c r="AN71" s="90"/>
      <c r="AO71" s="90"/>
      <c r="AP71" s="90"/>
      <c r="AQ71" s="74"/>
      <c r="AR71" s="90"/>
      <c r="AS71" s="133"/>
      <c r="AT71" s="54">
        <f t="shared" si="5"/>
        <v>0</v>
      </c>
      <c r="AU71" s="74"/>
      <c r="AV71" s="90"/>
      <c r="AW71" s="74"/>
      <c r="AX71" s="90"/>
      <c r="AY71" s="74"/>
      <c r="AZ71" s="90"/>
      <c r="BA71" s="133"/>
      <c r="BB71" s="211"/>
      <c r="BC71" s="78"/>
      <c r="BD71" s="89"/>
      <c r="BE71" s="78"/>
      <c r="BF71" s="53"/>
      <c r="BG71" s="82"/>
      <c r="BH71" s="87"/>
      <c r="BI71" s="82"/>
      <c r="BJ71" s="205">
        <f t="shared" si="6"/>
        <v>0</v>
      </c>
      <c r="BK71" s="205"/>
    </row>
    <row r="72" spans="1:63">
      <c r="A72" s="1584" t="str">
        <f>'Dépenses BP 2017'!A75</f>
        <v>Location Log "Clauses sociales"</v>
      </c>
      <c r="B72" s="61"/>
      <c r="C72" s="94"/>
      <c r="D72" s="61"/>
      <c r="E72" s="94"/>
      <c r="F72" s="61"/>
      <c r="G72" s="94"/>
      <c r="H72" s="94"/>
      <c r="I72" s="61"/>
      <c r="J72" s="94"/>
      <c r="K72" s="61"/>
      <c r="L72" s="94"/>
      <c r="M72" s="61"/>
      <c r="N72" s="58"/>
      <c r="O72" s="69"/>
      <c r="P72" s="92"/>
      <c r="Q72" s="69"/>
      <c r="R72" s="92"/>
      <c r="S72" s="69"/>
      <c r="T72" s="92"/>
      <c r="U72" s="69"/>
      <c r="V72" s="92"/>
      <c r="W72" s="69"/>
      <c r="X72" s="54"/>
      <c r="Y72" s="74"/>
      <c r="Z72" s="90"/>
      <c r="AA72" s="74"/>
      <c r="AB72" s="90"/>
      <c r="AC72" s="74"/>
      <c r="AD72" s="90"/>
      <c r="AE72" s="128"/>
      <c r="AF72" s="128"/>
      <c r="AG72" s="90"/>
      <c r="AH72" s="90"/>
      <c r="AI72" s="74"/>
      <c r="AJ72" s="90"/>
      <c r="AK72" s="74"/>
      <c r="AL72" s="90"/>
      <c r="AM72" s="74"/>
      <c r="AN72" s="90"/>
      <c r="AO72" s="74">
        <f>'Dépenses BP 2017'!BJ75*AP72</f>
        <v>0</v>
      </c>
      <c r="AP72" s="342">
        <f>AP19/($AP$19+$AV$19+$AX$19)</f>
        <v>0</v>
      </c>
      <c r="AQ72" s="74">
        <f>'Dépenses BP 2017'!N75</f>
        <v>0</v>
      </c>
      <c r="AR72" s="90">
        <f>'Dépenses BP 2017'!O75</f>
        <v>0</v>
      </c>
      <c r="AS72" s="133"/>
      <c r="AT72" s="54">
        <f t="shared" si="5"/>
        <v>0</v>
      </c>
      <c r="AU72" s="74">
        <f>'Dépenses BP 2017'!BJ75*AV72</f>
        <v>416.11241280000002</v>
      </c>
      <c r="AV72" s="342">
        <f>AV19/($AP$19+$AV$19+$AX$19)</f>
        <v>0.98139719999999997</v>
      </c>
      <c r="AW72" s="74">
        <f>'Dépenses BP 2017'!BJ75*AX72</f>
        <v>7.8875871999999996</v>
      </c>
      <c r="AX72" s="342">
        <f>AX19/($AP$19+$AV$19+$AX$19)</f>
        <v>1.8602799999999999E-2</v>
      </c>
      <c r="AY72" s="74">
        <f>'Dépenses BP 2017'!Q75</f>
        <v>424</v>
      </c>
      <c r="AZ72" s="90">
        <f>'Dépenses BP 2017'!R75</f>
        <v>1</v>
      </c>
      <c r="BA72" s="133"/>
      <c r="BB72" s="211"/>
      <c r="BC72" s="78">
        <f>'Dépenses BP 2017'!Q75</f>
        <v>424</v>
      </c>
      <c r="BD72" s="89">
        <f>'Dépenses BP 2017'!R75</f>
        <v>1</v>
      </c>
      <c r="BE72" s="78"/>
      <c r="BF72" s="53"/>
      <c r="BG72" s="82">
        <f>'Dépenses BP 2017'!T75</f>
        <v>424</v>
      </c>
      <c r="BH72" s="87">
        <f>'Dépenses BP 2017'!U75</f>
        <v>1</v>
      </c>
      <c r="BI72" s="82"/>
      <c r="BJ72" s="205">
        <f t="shared" si="6"/>
        <v>0</v>
      </c>
      <c r="BK72" s="205"/>
    </row>
    <row r="73" spans="1:63">
      <c r="A73" s="1584" t="str">
        <f>'Dépenses BP 2017'!A76</f>
        <v>Location Log MIAM</v>
      </c>
      <c r="B73" s="61">
        <f>'Dépenses BP 2017'!BJ76*C73</f>
        <v>32.146619077811337</v>
      </c>
      <c r="C73" s="94">
        <f t="shared" ref="C73:C78" si="9">$C$6/$BJ$6</f>
        <v>1.6073309538905668E-2</v>
      </c>
      <c r="D73" s="61">
        <f>'Dépenses BP 2017'!BJ76*E73</f>
        <v>0</v>
      </c>
      <c r="E73" s="94">
        <f t="shared" ref="E73:E78" si="10">$E$6/$BJ$6</f>
        <v>0</v>
      </c>
      <c r="F73" s="61">
        <f>'Dépenses BP 2017'!B76</f>
        <v>32.146619077811337</v>
      </c>
      <c r="G73" s="94">
        <f>'Dépenses BP 2017'!C76</f>
        <v>1.6073309538905668E-2</v>
      </c>
      <c r="H73" s="94"/>
      <c r="I73" s="61">
        <f>'Dépenses BP 2017'!E76</f>
        <v>0</v>
      </c>
      <c r="J73" s="94">
        <f>'Dépenses BP 2017'!F76</f>
        <v>0</v>
      </c>
      <c r="K73" s="61">
        <f>'Dépenses BP 2017'!G76</f>
        <v>32.146619077811337</v>
      </c>
      <c r="L73" s="94">
        <f>'Dépenses BP 2017'!H76</f>
        <v>1.6073309538905668E-2</v>
      </c>
      <c r="M73" s="61"/>
      <c r="N73" s="58"/>
      <c r="O73" s="69">
        <f>'Dépenses BP 2017'!BJ76*P73</f>
        <v>64.10608148743664</v>
      </c>
      <c r="P73" s="92">
        <f t="shared" ref="P73:P78" si="11">$P$6/$BJ$6</f>
        <v>3.2053040743718321E-2</v>
      </c>
      <c r="Q73" s="69">
        <f>'Dépenses BP 2017'!BJ76*R73</f>
        <v>10.142193559918249</v>
      </c>
      <c r="R73" s="92">
        <f t="shared" ref="R73:R78" si="12">$R$6/$BJ$6</f>
        <v>5.0710967799591248E-3</v>
      </c>
      <c r="S73" s="69">
        <f>'Dépenses BP 2017'!BJ76*T73</f>
        <v>6.103029024712237</v>
      </c>
      <c r="T73" s="92">
        <f t="shared" ref="T73:T78" si="13">$T$6/$BJ$6</f>
        <v>3.0515145123561184E-3</v>
      </c>
      <c r="U73" s="69">
        <f>'Dépenses BP 2017'!K76</f>
        <v>80.351304072067123</v>
      </c>
      <c r="V73" s="92">
        <f>'Dépenses BP 2017'!L76</f>
        <v>4.0175652036033564E-2</v>
      </c>
      <c r="W73" s="69"/>
      <c r="X73" s="54"/>
      <c r="Y73" s="74">
        <f>'Dépenses BP 2017'!BJ76*Z73</f>
        <v>0</v>
      </c>
      <c r="Z73" s="90">
        <f t="shared" ref="Z73:Z78" si="14">$Z$6/$BJ$6</f>
        <v>0</v>
      </c>
      <c r="AA73" s="74">
        <f>'Dépenses BP 2017'!BJ76*AB73</f>
        <v>0</v>
      </c>
      <c r="AB73" s="90">
        <f t="shared" ref="AB73:AB78" si="15">$AB$6/$BJ$6</f>
        <v>0</v>
      </c>
      <c r="AC73" s="74">
        <f>'Dépenses BP 2017'!BJ76*AD73</f>
        <v>82.456517080478235</v>
      </c>
      <c r="AD73" s="90">
        <f t="shared" ref="AD73:AD78" si="16">$AD$6/$BJ$6</f>
        <v>4.1228258540239121E-2</v>
      </c>
      <c r="AE73" s="128"/>
      <c r="AF73" s="128"/>
      <c r="AG73" s="74">
        <f>'Dépenses BP 2017'!BJ76*AH73</f>
        <v>97.837536323773634</v>
      </c>
      <c r="AH73" s="90">
        <f t="shared" ref="AH73:AH78" si="17">$AH$6/$BJ$6</f>
        <v>4.8918768161886818E-2</v>
      </c>
      <c r="AI73" s="74">
        <f>'Dépenses BP 2017'!BJ76*AJ73</f>
        <v>8.8943214839794216</v>
      </c>
      <c r="AJ73" s="90">
        <f t="shared" ref="AJ73:AJ78" si="18">$AJ$6/$BJ$6</f>
        <v>4.4471607419897105E-3</v>
      </c>
      <c r="AK73" s="74">
        <f>'Dépenses BP 2017'!BJ76*AL73</f>
        <v>7.4553473296070857E-2</v>
      </c>
      <c r="AL73" s="90">
        <f t="shared" ref="AL73:AL78" si="19">$AL$6/$BJ$6</f>
        <v>3.7276736648035431E-5</v>
      </c>
      <c r="AM73" s="74">
        <f>'Dépenses BP 2017'!BJ76*AN73</f>
        <v>13.469888693919716</v>
      </c>
      <c r="AN73" s="90">
        <f t="shared" ref="AN73:AN78" si="20">$AN$6/$BJ$6</f>
        <v>6.7349443469598581E-3</v>
      </c>
      <c r="AO73" s="74">
        <f>'Dépenses BP 2017'!BJ76*AP73</f>
        <v>22.235803709948552</v>
      </c>
      <c r="AP73" s="342">
        <f t="shared" ref="AP73:AP78" si="21">$AP$6/$BJ$6</f>
        <v>1.1117901854974277E-2</v>
      </c>
      <c r="AQ73" s="74">
        <f>'Dépenses BP 2017'!N76</f>
        <v>224.96862076539566</v>
      </c>
      <c r="AR73" s="90">
        <f>'Dépenses BP 2017'!O76</f>
        <v>0.11248431038269782</v>
      </c>
      <c r="AS73" s="133"/>
      <c r="AT73" s="54">
        <f t="shared" si="5"/>
        <v>0</v>
      </c>
      <c r="AU73" s="74">
        <f>'Dépenses BP 2017'!BJ76*AV73</f>
        <v>81.527498131770642</v>
      </c>
      <c r="AV73" s="342">
        <f t="shared" ref="AV73:AV78" si="22">$AV$6/$BJ$6</f>
        <v>4.076374906588532E-2</v>
      </c>
      <c r="AW73" s="74">
        <f>'Dépenses BP 2017'!BJ76*AX73</f>
        <v>1.5453882915558581</v>
      </c>
      <c r="AX73" s="342">
        <f t="shared" ref="AX73:AX78" si="23">$AX$6/$BJ$6</f>
        <v>7.726941457779291E-4</v>
      </c>
      <c r="AY73" s="74">
        <f>'Dépenses BP 2017'!Q76</f>
        <v>83.072886423326509</v>
      </c>
      <c r="AZ73" s="90">
        <f>'Dépenses BP 2017'!R76</f>
        <v>4.1536443211663256E-2</v>
      </c>
      <c r="BA73" s="133"/>
      <c r="BB73" s="211"/>
      <c r="BC73" s="78">
        <f>'Dépenses BP 2017'!Q76</f>
        <v>83.072886423326509</v>
      </c>
      <c r="BD73" s="89">
        <f>'Dépenses BP 2017'!R76</f>
        <v>4.1536443211663256E-2</v>
      </c>
      <c r="BE73" s="78"/>
      <c r="BF73" s="53"/>
      <c r="BG73" s="82">
        <f>'Dépenses BP 2017'!T76</f>
        <v>420.5394303386006</v>
      </c>
      <c r="BH73" s="87">
        <f>'Dépenses BP 2017'!U76</f>
        <v>0.21026971516930029</v>
      </c>
      <c r="BI73" s="82"/>
      <c r="BJ73" s="205">
        <f t="shared" si="6"/>
        <v>0</v>
      </c>
      <c r="BK73" s="205"/>
    </row>
    <row r="74" spans="1:63">
      <c r="A74" s="1584" t="str">
        <f>'Dépenses BP 2017'!A77</f>
        <v xml:space="preserve">Location Hébergement OVH </v>
      </c>
      <c r="B74" s="61">
        <f>'Dépenses BP 2017'!BJ77*C74</f>
        <v>0</v>
      </c>
      <c r="C74" s="94">
        <f t="shared" si="9"/>
        <v>1.6073309538905668E-2</v>
      </c>
      <c r="D74" s="61">
        <f>'Dépenses BP 2017'!BJ77*E74</f>
        <v>0</v>
      </c>
      <c r="E74" s="94">
        <f t="shared" si="10"/>
        <v>0</v>
      </c>
      <c r="F74" s="61">
        <f>'Dépenses BP 2017'!B77</f>
        <v>0</v>
      </c>
      <c r="G74" s="94">
        <f>'Dépenses BP 2017'!C77</f>
        <v>1.6073309538905668E-2</v>
      </c>
      <c r="H74" s="94"/>
      <c r="I74" s="61">
        <f>'Dépenses BP 2017'!E77</f>
        <v>0</v>
      </c>
      <c r="J74" s="94">
        <f>'Dépenses BP 2017'!F77</f>
        <v>0</v>
      </c>
      <c r="K74" s="61">
        <f>'Dépenses BP 2017'!G77</f>
        <v>0</v>
      </c>
      <c r="L74" s="94">
        <f>'Dépenses BP 2017'!H77</f>
        <v>1.6073309538905668E-2</v>
      </c>
      <c r="M74" s="61"/>
      <c r="N74" s="58"/>
      <c r="O74" s="69">
        <f>'Dépenses BP 2017'!BJ77*P74</f>
        <v>0</v>
      </c>
      <c r="P74" s="92">
        <f t="shared" si="11"/>
        <v>3.2053040743718321E-2</v>
      </c>
      <c r="Q74" s="69">
        <f>'Dépenses BP 2017'!BJ77*R74</f>
        <v>0</v>
      </c>
      <c r="R74" s="92">
        <f t="shared" si="12"/>
        <v>5.0710967799591248E-3</v>
      </c>
      <c r="S74" s="69">
        <f>'Dépenses BP 2017'!BJ77*T74</f>
        <v>0</v>
      </c>
      <c r="T74" s="92">
        <f t="shared" si="13"/>
        <v>3.0515145123561184E-3</v>
      </c>
      <c r="U74" s="69">
        <f>'Dépenses BP 2017'!K77</f>
        <v>0</v>
      </c>
      <c r="V74" s="92">
        <f>'Dépenses BP 2017'!L77</f>
        <v>4.0175652036033564E-2</v>
      </c>
      <c r="W74" s="69"/>
      <c r="X74" s="54"/>
      <c r="Y74" s="74">
        <f>'Dépenses BP 2017'!BJ77*Z74</f>
        <v>0</v>
      </c>
      <c r="Z74" s="90">
        <f t="shared" si="14"/>
        <v>0</v>
      </c>
      <c r="AA74" s="74">
        <f>'Dépenses BP 2017'!BJ77*AB74</f>
        <v>0</v>
      </c>
      <c r="AB74" s="90">
        <f t="shared" si="15"/>
        <v>0</v>
      </c>
      <c r="AC74" s="74">
        <f>'Dépenses BP 2017'!BJ77*AD74</f>
        <v>0</v>
      </c>
      <c r="AD74" s="90">
        <f t="shared" si="16"/>
        <v>4.1228258540239121E-2</v>
      </c>
      <c r="AE74" s="128"/>
      <c r="AF74" s="128"/>
      <c r="AG74" s="74">
        <f>'Dépenses BP 2017'!BJ77*AH74</f>
        <v>0</v>
      </c>
      <c r="AH74" s="90">
        <f t="shared" si="17"/>
        <v>4.8918768161886818E-2</v>
      </c>
      <c r="AI74" s="74">
        <f>'Dépenses BP 2017'!BJ77*AJ74</f>
        <v>0</v>
      </c>
      <c r="AJ74" s="90">
        <f t="shared" si="18"/>
        <v>4.4471607419897105E-3</v>
      </c>
      <c r="AK74" s="74">
        <f>'Dépenses BP 2017'!BJ77*AL74</f>
        <v>0</v>
      </c>
      <c r="AL74" s="90">
        <f t="shared" si="19"/>
        <v>3.7276736648035431E-5</v>
      </c>
      <c r="AM74" s="74">
        <f>'Dépenses BP 2017'!BJ77*AN74</f>
        <v>0</v>
      </c>
      <c r="AN74" s="90">
        <f t="shared" si="20"/>
        <v>6.7349443469598581E-3</v>
      </c>
      <c r="AO74" s="74">
        <f>'Dépenses BP 2017'!BJ77*AP74</f>
        <v>0</v>
      </c>
      <c r="AP74" s="342">
        <f t="shared" si="21"/>
        <v>1.1117901854974277E-2</v>
      </c>
      <c r="AQ74" s="74">
        <f>'Dépenses BP 2017'!N77</f>
        <v>0</v>
      </c>
      <c r="AR74" s="90">
        <f>'Dépenses BP 2017'!O77</f>
        <v>0.11248431038269782</v>
      </c>
      <c r="AS74" s="133"/>
      <c r="AT74" s="54">
        <f t="shared" si="5"/>
        <v>0</v>
      </c>
      <c r="AU74" s="74">
        <f>'Dépenses BP 2017'!BJ77*AV74</f>
        <v>0</v>
      </c>
      <c r="AV74" s="342">
        <f t="shared" si="22"/>
        <v>4.076374906588532E-2</v>
      </c>
      <c r="AW74" s="74">
        <f>'Dépenses BP 2017'!BJ77*AX74</f>
        <v>0</v>
      </c>
      <c r="AX74" s="342">
        <f t="shared" si="23"/>
        <v>7.726941457779291E-4</v>
      </c>
      <c r="AY74" s="74">
        <f>'Dépenses BP 2017'!Q77</f>
        <v>0</v>
      </c>
      <c r="AZ74" s="90">
        <f>'Dépenses BP 2017'!R77</f>
        <v>4.1536443211663256E-2</v>
      </c>
      <c r="BA74" s="133"/>
      <c r="BB74" s="211"/>
      <c r="BC74" s="78">
        <f>'Dépenses BP 2017'!Q77</f>
        <v>0</v>
      </c>
      <c r="BD74" s="89">
        <f>'Dépenses BP 2017'!R77</f>
        <v>4.1536443211663256E-2</v>
      </c>
      <c r="BE74" s="78"/>
      <c r="BF74" s="53"/>
      <c r="BG74" s="82">
        <f>'Dépenses BP 2017'!T77</f>
        <v>0</v>
      </c>
      <c r="BH74" s="87">
        <f>'Dépenses BP 2017'!U77</f>
        <v>0.21026971516930029</v>
      </c>
      <c r="BI74" s="82"/>
      <c r="BJ74" s="205">
        <f t="shared" si="6"/>
        <v>0</v>
      </c>
      <c r="BK74" s="205"/>
    </row>
    <row r="75" spans="1:63">
      <c r="A75" s="1584" t="str">
        <f>'Dépenses BP 2017'!A78</f>
        <v>Location mobilière</v>
      </c>
      <c r="B75" s="61">
        <f>'Dépenses BP 2017'!BJ78*C75</f>
        <v>0</v>
      </c>
      <c r="C75" s="94">
        <f t="shared" si="9"/>
        <v>1.6073309538905668E-2</v>
      </c>
      <c r="D75" s="61">
        <f>'Dépenses BP 2017'!BJ78*E75</f>
        <v>0</v>
      </c>
      <c r="E75" s="94">
        <f t="shared" si="10"/>
        <v>0</v>
      </c>
      <c r="F75" s="61">
        <f>'Dépenses BP 2017'!B78</f>
        <v>0</v>
      </c>
      <c r="G75" s="94">
        <f>'Dépenses BP 2017'!C78</f>
        <v>1.6073309538905668E-2</v>
      </c>
      <c r="H75" s="94"/>
      <c r="I75" s="61">
        <f>'Dépenses BP 2017'!E78</f>
        <v>0</v>
      </c>
      <c r="J75" s="94">
        <f>'Dépenses BP 2017'!F78</f>
        <v>0</v>
      </c>
      <c r="K75" s="61">
        <f>'Dépenses BP 2017'!G78</f>
        <v>0</v>
      </c>
      <c r="L75" s="94">
        <f>'Dépenses BP 2017'!H78</f>
        <v>1.6073309538905668E-2</v>
      </c>
      <c r="M75" s="61"/>
      <c r="N75" s="58"/>
      <c r="O75" s="69">
        <f>'Dépenses BP 2017'!BJ78*P75</f>
        <v>0</v>
      </c>
      <c r="P75" s="92">
        <f t="shared" si="11"/>
        <v>3.2053040743718321E-2</v>
      </c>
      <c r="Q75" s="69">
        <f>'Dépenses BP 2017'!BJ78*R75</f>
        <v>0</v>
      </c>
      <c r="R75" s="92">
        <f t="shared" si="12"/>
        <v>5.0710967799591248E-3</v>
      </c>
      <c r="S75" s="69">
        <f>'Dépenses BP 2017'!BJ78*T75</f>
        <v>0</v>
      </c>
      <c r="T75" s="92">
        <f t="shared" si="13"/>
        <v>3.0515145123561184E-3</v>
      </c>
      <c r="U75" s="69">
        <f>'Dépenses BP 2017'!K78</f>
        <v>0</v>
      </c>
      <c r="V75" s="92">
        <f>'Dépenses BP 2017'!L78</f>
        <v>4.0175652036033564E-2</v>
      </c>
      <c r="W75" s="69"/>
      <c r="X75" s="54"/>
      <c r="Y75" s="74">
        <f>'Dépenses BP 2017'!BJ78*Z75</f>
        <v>0</v>
      </c>
      <c r="Z75" s="90">
        <f t="shared" si="14"/>
        <v>0</v>
      </c>
      <c r="AA75" s="74">
        <f>'Dépenses BP 2017'!BJ78*AB75</f>
        <v>0</v>
      </c>
      <c r="AB75" s="90">
        <f t="shared" si="15"/>
        <v>0</v>
      </c>
      <c r="AC75" s="74">
        <f>'Dépenses BP 2017'!BJ78*AD75</f>
        <v>0</v>
      </c>
      <c r="AD75" s="90">
        <f t="shared" si="16"/>
        <v>4.1228258540239121E-2</v>
      </c>
      <c r="AE75" s="128"/>
      <c r="AF75" s="128"/>
      <c r="AG75" s="74">
        <f>'Dépenses BP 2017'!BJ78*AH75</f>
        <v>0</v>
      </c>
      <c r="AH75" s="90">
        <f t="shared" si="17"/>
        <v>4.8918768161886818E-2</v>
      </c>
      <c r="AI75" s="74">
        <f>'Dépenses BP 2017'!BJ78*AJ75</f>
        <v>0</v>
      </c>
      <c r="AJ75" s="90">
        <f t="shared" si="18"/>
        <v>4.4471607419897105E-3</v>
      </c>
      <c r="AK75" s="74">
        <f>'Dépenses BP 2017'!BJ78*AL75</f>
        <v>0</v>
      </c>
      <c r="AL75" s="90">
        <f t="shared" si="19"/>
        <v>3.7276736648035431E-5</v>
      </c>
      <c r="AM75" s="74">
        <f>'Dépenses BP 2017'!BJ78*AN75</f>
        <v>0</v>
      </c>
      <c r="AN75" s="90">
        <f t="shared" si="20"/>
        <v>6.7349443469598581E-3</v>
      </c>
      <c r="AO75" s="74">
        <f>'Dépenses BP 2017'!BJ78*AP75</f>
        <v>0</v>
      </c>
      <c r="AP75" s="342">
        <f t="shared" si="21"/>
        <v>1.1117901854974277E-2</v>
      </c>
      <c r="AQ75" s="74">
        <f>'Dépenses BP 2017'!N78</f>
        <v>0</v>
      </c>
      <c r="AR75" s="90">
        <f>'Dépenses BP 2017'!O78</f>
        <v>0.11248431038269782</v>
      </c>
      <c r="AS75" s="133"/>
      <c r="AT75" s="54">
        <f t="shared" si="5"/>
        <v>0</v>
      </c>
      <c r="AU75" s="74">
        <f>'Dépenses BP 2017'!BJ78*AV75</f>
        <v>0</v>
      </c>
      <c r="AV75" s="342">
        <f t="shared" si="22"/>
        <v>4.076374906588532E-2</v>
      </c>
      <c r="AW75" s="74">
        <f>'Dépenses BP 2017'!BJ78*AX75</f>
        <v>0</v>
      </c>
      <c r="AX75" s="342">
        <f t="shared" si="23"/>
        <v>7.726941457779291E-4</v>
      </c>
      <c r="AY75" s="74">
        <f>'Dépenses BP 2017'!Q78</f>
        <v>0</v>
      </c>
      <c r="AZ75" s="90">
        <f>'Dépenses BP 2017'!R78</f>
        <v>4.1536443211663256E-2</v>
      </c>
      <c r="BA75" s="133"/>
      <c r="BB75" s="211"/>
      <c r="BC75" s="78">
        <f>'Dépenses BP 2017'!Q78</f>
        <v>0</v>
      </c>
      <c r="BD75" s="89">
        <f>'Dépenses BP 2017'!R78</f>
        <v>4.1536443211663256E-2</v>
      </c>
      <c r="BE75" s="78"/>
      <c r="BF75" s="53"/>
      <c r="BG75" s="82">
        <f>'Dépenses BP 2017'!T78</f>
        <v>0</v>
      </c>
      <c r="BH75" s="87">
        <f>'Dépenses BP 2017'!U78</f>
        <v>0.21026971516930029</v>
      </c>
      <c r="BI75" s="82"/>
      <c r="BJ75" s="205">
        <f t="shared" si="6"/>
        <v>0</v>
      </c>
      <c r="BK75" s="205"/>
    </row>
    <row r="76" spans="1:63">
      <c r="A76" s="1584" t="str">
        <f>'Dépenses BP 2017'!A79</f>
        <v>Location mobilière (photocopieur)</v>
      </c>
      <c r="B76" s="61">
        <f>'Dépenses BP 2017'!BJ79*C76</f>
        <v>44.973120089858057</v>
      </c>
      <c r="C76" s="94">
        <f t="shared" si="9"/>
        <v>1.6073309538905668E-2</v>
      </c>
      <c r="D76" s="61">
        <f>'Dépenses BP 2017'!BJ79*E76</f>
        <v>0</v>
      </c>
      <c r="E76" s="94">
        <f t="shared" si="10"/>
        <v>0</v>
      </c>
      <c r="F76" s="61">
        <f>'Dépenses BP 2017'!B79</f>
        <v>44.973120089858057</v>
      </c>
      <c r="G76" s="94">
        <f>'Dépenses BP 2017'!C79</f>
        <v>1.6073309538905668E-2</v>
      </c>
      <c r="H76" s="94"/>
      <c r="I76" s="61">
        <f>'Dépenses BP 2017'!E79</f>
        <v>0</v>
      </c>
      <c r="J76" s="94">
        <f>'Dépenses BP 2017'!F79</f>
        <v>0</v>
      </c>
      <c r="K76" s="61">
        <f>'Dépenses BP 2017'!G79</f>
        <v>44.973120089858057</v>
      </c>
      <c r="L76" s="94">
        <f>'Dépenses BP 2017'!H79</f>
        <v>1.6073309538905668E-2</v>
      </c>
      <c r="M76" s="61"/>
      <c r="N76" s="58"/>
      <c r="O76" s="69">
        <f>'Dépenses BP 2017'!BJ79*P76</f>
        <v>89.684408000923867</v>
      </c>
      <c r="P76" s="92">
        <f t="shared" si="11"/>
        <v>3.2053040743718321E-2</v>
      </c>
      <c r="Q76" s="69">
        <f>'Dépenses BP 2017'!BJ79*R76</f>
        <v>14.188928790325631</v>
      </c>
      <c r="R76" s="92">
        <f t="shared" si="12"/>
        <v>5.0710967799591248E-3</v>
      </c>
      <c r="S76" s="69">
        <f>'Dépenses BP 2017'!BJ79*T76</f>
        <v>8.5381376055724196</v>
      </c>
      <c r="T76" s="92">
        <f t="shared" si="13"/>
        <v>3.0515145123561184E-3</v>
      </c>
      <c r="U76" s="69">
        <f>'Dépenses BP 2017'!K79</f>
        <v>112.41147439682192</v>
      </c>
      <c r="V76" s="92">
        <f>'Dépenses BP 2017'!L79</f>
        <v>4.0175652036033564E-2</v>
      </c>
      <c r="W76" s="69"/>
      <c r="X76" s="54"/>
      <c r="Y76" s="74">
        <f>'Dépenses BP 2017'!BJ79*Z76</f>
        <v>0</v>
      </c>
      <c r="Z76" s="90">
        <f t="shared" si="14"/>
        <v>0</v>
      </c>
      <c r="AA76" s="74">
        <f>'Dépenses BP 2017'!BJ79*AB76</f>
        <v>0</v>
      </c>
      <c r="AB76" s="90">
        <f t="shared" si="15"/>
        <v>0</v>
      </c>
      <c r="AC76" s="74">
        <f>'Dépenses BP 2017'!BJ79*AD76</f>
        <v>115.35666739558906</v>
      </c>
      <c r="AD76" s="90">
        <f t="shared" si="16"/>
        <v>4.1228258540239121E-2</v>
      </c>
      <c r="AE76" s="128"/>
      <c r="AF76" s="128"/>
      <c r="AG76" s="74">
        <f>'Dépenses BP 2017'!BJ79*AH76</f>
        <v>136.87471331695932</v>
      </c>
      <c r="AH76" s="90">
        <f t="shared" si="17"/>
        <v>4.8918768161886818E-2</v>
      </c>
      <c r="AI76" s="74">
        <f>'Dépenses BP 2017'!BJ79*AJ76</f>
        <v>12.44315575608721</v>
      </c>
      <c r="AJ76" s="90">
        <f t="shared" si="18"/>
        <v>4.4471607419897105E-3</v>
      </c>
      <c r="AK76" s="74">
        <f>'Dépenses BP 2017'!BJ79*AL76</f>
        <v>0.10430030914120314</v>
      </c>
      <c r="AL76" s="90">
        <f t="shared" si="19"/>
        <v>3.7276736648035431E-5</v>
      </c>
      <c r="AM76" s="74">
        <f>'Dépenses BP 2017'!BJ79*AN76</f>
        <v>18.844374282793684</v>
      </c>
      <c r="AN76" s="90">
        <f t="shared" si="20"/>
        <v>6.7349443469598581E-3</v>
      </c>
      <c r="AO76" s="74">
        <f>'Dépenses BP 2017'!BJ79*AP76</f>
        <v>31.107889390218027</v>
      </c>
      <c r="AP76" s="342">
        <f t="shared" si="21"/>
        <v>1.1117901854974277E-2</v>
      </c>
      <c r="AQ76" s="74">
        <f>'Dépenses BP 2017'!N79</f>
        <v>314.73110045078852</v>
      </c>
      <c r="AR76" s="90">
        <f>'Dépenses BP 2017'!O79</f>
        <v>0.11248431038269782</v>
      </c>
      <c r="AS76" s="133"/>
      <c r="AT76" s="54">
        <f t="shared" si="5"/>
        <v>0</v>
      </c>
      <c r="AU76" s="74">
        <f>'Dépenses BP 2017'!BJ79*AV76</f>
        <v>114.05696988634712</v>
      </c>
      <c r="AV76" s="342">
        <f t="shared" si="22"/>
        <v>4.076374906588532E-2</v>
      </c>
      <c r="AW76" s="74">
        <f>'Dépenses BP 2017'!BJ79*AX76</f>
        <v>2.1619982198866454</v>
      </c>
      <c r="AX76" s="342">
        <f t="shared" si="23"/>
        <v>7.726941457779291E-4</v>
      </c>
      <c r="AY76" s="74">
        <f>'Dépenses BP 2017'!Q79</f>
        <v>116.21896810623379</v>
      </c>
      <c r="AZ76" s="90">
        <f>'Dépenses BP 2017'!R79</f>
        <v>4.1536443211663256E-2</v>
      </c>
      <c r="BA76" s="133"/>
      <c r="BB76" s="211"/>
      <c r="BC76" s="78">
        <f>'Dépenses BP 2017'!Q79</f>
        <v>116.21896810623379</v>
      </c>
      <c r="BD76" s="89">
        <f>'Dépenses BP 2017'!R79</f>
        <v>4.1536443211663256E-2</v>
      </c>
      <c r="BE76" s="78"/>
      <c r="BF76" s="54"/>
      <c r="BG76" s="82">
        <f>'Dépenses BP 2017'!T79</f>
        <v>588.33466304370234</v>
      </c>
      <c r="BH76" s="87">
        <f>'Dépenses BP 2017'!U79</f>
        <v>0.21026971516930029</v>
      </c>
      <c r="BI76" s="82"/>
      <c r="BJ76" s="205">
        <f t="shared" si="6"/>
        <v>0</v>
      </c>
      <c r="BK76" s="205"/>
    </row>
    <row r="77" spans="1:63">
      <c r="A77" s="1584" t="str">
        <f>'Dépenses BP 2017'!A80</f>
        <v>Location véhicule (Peugeot 207)</v>
      </c>
      <c r="B77" s="61">
        <f>'Dépenses BP 2017'!BJ80*C77</f>
        <v>55.726164171385946</v>
      </c>
      <c r="C77" s="94">
        <f t="shared" si="9"/>
        <v>1.6073309538905668E-2</v>
      </c>
      <c r="D77" s="61">
        <f>'Dépenses BP 2017'!BJ80*E77</f>
        <v>0</v>
      </c>
      <c r="E77" s="94">
        <f t="shared" si="10"/>
        <v>0</v>
      </c>
      <c r="F77" s="61">
        <f>'Dépenses BP 2017'!B80</f>
        <v>55.726164171385946</v>
      </c>
      <c r="G77" s="94">
        <f>'Dépenses BP 2017'!C80</f>
        <v>1.6073309538905668E-2</v>
      </c>
      <c r="H77" s="94"/>
      <c r="I77" s="61">
        <f>'Dépenses BP 2017'!E80</f>
        <v>0</v>
      </c>
      <c r="J77" s="94">
        <f>'Dépenses BP 2017'!F80</f>
        <v>0</v>
      </c>
      <c r="K77" s="61">
        <f>'Dépenses BP 2017'!G80</f>
        <v>55.726164171385946</v>
      </c>
      <c r="L77" s="94">
        <f>'Dépenses BP 2017'!H80</f>
        <v>1.6073309538905668E-2</v>
      </c>
      <c r="M77" s="61"/>
      <c r="N77" s="58"/>
      <c r="O77" s="69">
        <f>'Dépenses BP 2017'!BJ80*P77</f>
        <v>111.12789225847142</v>
      </c>
      <c r="P77" s="92">
        <f t="shared" si="11"/>
        <v>3.2053040743718321E-2</v>
      </c>
      <c r="Q77" s="69">
        <f>'Dépenses BP 2017'!BJ80*R77</f>
        <v>17.581492536118287</v>
      </c>
      <c r="R77" s="92">
        <f t="shared" si="12"/>
        <v>5.0710967799591248E-3</v>
      </c>
      <c r="S77" s="69">
        <f>'Dépenses BP 2017'!BJ80*T77</f>
        <v>10.579600814338663</v>
      </c>
      <c r="T77" s="92">
        <f t="shared" si="13"/>
        <v>3.0515145123561184E-3</v>
      </c>
      <c r="U77" s="69">
        <f>'Dépenses BP 2017'!K80</f>
        <v>139.28898560892836</v>
      </c>
      <c r="V77" s="92">
        <f>'Dépenses BP 2017'!L80</f>
        <v>4.0175652036033564E-2</v>
      </c>
      <c r="W77" s="69"/>
      <c r="X77" s="54"/>
      <c r="Y77" s="74">
        <f>'Dépenses BP 2017'!BJ80*Z77</f>
        <v>0</v>
      </c>
      <c r="Z77" s="90">
        <f t="shared" si="14"/>
        <v>0</v>
      </c>
      <c r="AA77" s="74">
        <f>'Dépenses BP 2017'!BJ80*AB77</f>
        <v>0</v>
      </c>
      <c r="AB77" s="90">
        <f t="shared" si="15"/>
        <v>0</v>
      </c>
      <c r="AC77" s="74">
        <f>'Dépenses BP 2017'!BJ80*AD77</f>
        <v>142.93837235900904</v>
      </c>
      <c r="AD77" s="90">
        <f t="shared" si="16"/>
        <v>4.1228258540239121E-2</v>
      </c>
      <c r="AE77" s="128"/>
      <c r="AF77" s="128"/>
      <c r="AG77" s="74">
        <f>'Dépenses BP 2017'!BJ80*AH77</f>
        <v>169.60136921726161</v>
      </c>
      <c r="AH77" s="90">
        <f t="shared" si="17"/>
        <v>4.8918768161886818E-2</v>
      </c>
      <c r="AI77" s="74">
        <f>'Dépenses BP 2017'!BJ80*AJ77</f>
        <v>15.418306292478325</v>
      </c>
      <c r="AJ77" s="90">
        <f t="shared" si="18"/>
        <v>4.4471607419897105E-3</v>
      </c>
      <c r="AK77" s="74">
        <f>'Dépenses BP 2017'!BJ80*AL77</f>
        <v>0.12923844595873885</v>
      </c>
      <c r="AL77" s="90">
        <f t="shared" si="19"/>
        <v>3.7276736648035431E-5</v>
      </c>
      <c r="AM77" s="74">
        <f>'Dépenses BP 2017'!BJ80*AN77</f>
        <v>23.350052050909827</v>
      </c>
      <c r="AN77" s="90">
        <f t="shared" si="20"/>
        <v>6.7349443469598581E-3</v>
      </c>
      <c r="AO77" s="74">
        <f>'Dépenses BP 2017'!BJ80*AP77</f>
        <v>38.545765731195814</v>
      </c>
      <c r="AP77" s="342">
        <f t="shared" si="21"/>
        <v>1.1117901854974277E-2</v>
      </c>
      <c r="AQ77" s="74">
        <f>'Dépenses BP 2017'!N80</f>
        <v>389.98310409681335</v>
      </c>
      <c r="AR77" s="90">
        <f>'Dépenses BP 2017'!O80</f>
        <v>0.11248431038269782</v>
      </c>
      <c r="AS77" s="133"/>
      <c r="AT77" s="54">
        <f t="shared" si="5"/>
        <v>0</v>
      </c>
      <c r="AU77" s="74">
        <f>'Dépenses BP 2017'!BJ80*AV77</f>
        <v>141.3279180114244</v>
      </c>
      <c r="AV77" s="342">
        <f t="shared" si="22"/>
        <v>4.076374906588532E-2</v>
      </c>
      <c r="AW77" s="74">
        <f>'Dépenses BP 2017'!BJ80*AX77</f>
        <v>2.6789306034120801</v>
      </c>
      <c r="AX77" s="342">
        <f t="shared" si="23"/>
        <v>7.726941457779291E-4</v>
      </c>
      <c r="AY77" s="74">
        <f>'Dépenses BP 2017'!Q80</f>
        <v>144.00684861483651</v>
      </c>
      <c r="AZ77" s="90">
        <f>'Dépenses BP 2017'!R80</f>
        <v>4.1536443211663256E-2</v>
      </c>
      <c r="BA77" s="133"/>
      <c r="BB77" s="211"/>
      <c r="BC77" s="78">
        <f>'Dépenses BP 2017'!Q80</f>
        <v>144.00684861483651</v>
      </c>
      <c r="BD77" s="89">
        <f>'Dépenses BP 2017'!R80</f>
        <v>4.1536443211663256E-2</v>
      </c>
      <c r="BE77" s="78"/>
      <c r="BF77" s="54"/>
      <c r="BG77" s="82">
        <f>'Dépenses BP 2017'!T80</f>
        <v>729.00510249196407</v>
      </c>
      <c r="BH77" s="87">
        <f>'Dépenses BP 2017'!U80</f>
        <v>0.21026971516930029</v>
      </c>
      <c r="BI77" s="82"/>
      <c r="BJ77" s="205">
        <f t="shared" si="6"/>
        <v>0</v>
      </c>
      <c r="BK77" s="205"/>
    </row>
    <row r="78" spans="1:63">
      <c r="A78" s="1584" t="str">
        <f>'Dépenses BP 2017'!A81</f>
        <v>Location diverses</v>
      </c>
      <c r="B78" s="61">
        <f>'Dépenses BP 2017'!BJ81*C78</f>
        <v>1.6073309538905667</v>
      </c>
      <c r="C78" s="94">
        <f t="shared" si="9"/>
        <v>1.6073309538905668E-2</v>
      </c>
      <c r="D78" s="61">
        <f>'Dépenses BP 2017'!BJ81*E78</f>
        <v>0</v>
      </c>
      <c r="E78" s="94">
        <f t="shared" si="10"/>
        <v>0</v>
      </c>
      <c r="F78" s="61">
        <f>'Dépenses BP 2017'!B81</f>
        <v>1.6073309538905667</v>
      </c>
      <c r="G78" s="94">
        <f>'Dépenses BP 2017'!C81</f>
        <v>1.6073309538905668E-2</v>
      </c>
      <c r="H78" s="94"/>
      <c r="I78" s="61">
        <f>'Dépenses BP 2017'!E81</f>
        <v>0</v>
      </c>
      <c r="J78" s="94">
        <f>'Dépenses BP 2017'!F81</f>
        <v>0</v>
      </c>
      <c r="K78" s="61">
        <f>'Dépenses BP 2017'!G81</f>
        <v>1.6073309538905667</v>
      </c>
      <c r="L78" s="94">
        <f>'Dépenses BP 2017'!H81</f>
        <v>1.6073309538905668E-2</v>
      </c>
      <c r="M78" s="61"/>
      <c r="N78" s="58"/>
      <c r="O78" s="69">
        <f>'Dépenses BP 2017'!BJ81*P78</f>
        <v>3.2053040743718322</v>
      </c>
      <c r="P78" s="92">
        <f t="shared" si="11"/>
        <v>3.2053040743718321E-2</v>
      </c>
      <c r="Q78" s="69">
        <f>'Dépenses BP 2017'!BJ81*R78</f>
        <v>0.50710967799591244</v>
      </c>
      <c r="R78" s="92">
        <f t="shared" si="12"/>
        <v>5.0710967799591248E-3</v>
      </c>
      <c r="S78" s="69">
        <f>'Dépenses BP 2017'!BJ81*T78</f>
        <v>0.30515145123561183</v>
      </c>
      <c r="T78" s="92">
        <f t="shared" si="13"/>
        <v>3.0515145123561184E-3</v>
      </c>
      <c r="U78" s="69">
        <f>'Dépenses BP 2017'!K81</f>
        <v>4.0175652036033567</v>
      </c>
      <c r="V78" s="92">
        <f>'Dépenses BP 2017'!L81</f>
        <v>4.0175652036033564E-2</v>
      </c>
      <c r="W78" s="69"/>
      <c r="X78" s="54"/>
      <c r="Y78" s="74">
        <f>'Dépenses BP 2017'!BJ81*Z78</f>
        <v>0</v>
      </c>
      <c r="Z78" s="90">
        <f t="shared" si="14"/>
        <v>0</v>
      </c>
      <c r="AA78" s="74">
        <f>'Dépenses BP 2017'!BJ81*AB78</f>
        <v>0</v>
      </c>
      <c r="AB78" s="90">
        <f t="shared" si="15"/>
        <v>0</v>
      </c>
      <c r="AC78" s="74">
        <f>'Dépenses BP 2017'!BJ81*AD78</f>
        <v>4.1228258540239118</v>
      </c>
      <c r="AD78" s="90">
        <f t="shared" si="16"/>
        <v>4.1228258540239121E-2</v>
      </c>
      <c r="AE78" s="128"/>
      <c r="AF78" s="128"/>
      <c r="AG78" s="74">
        <f>'Dépenses BP 2017'!BJ81*AH78</f>
        <v>4.8918768161886819</v>
      </c>
      <c r="AH78" s="90">
        <f t="shared" si="17"/>
        <v>4.8918768161886818E-2</v>
      </c>
      <c r="AI78" s="74">
        <f>'Dépenses BP 2017'!BJ81*AJ78</f>
        <v>0.44471607419897102</v>
      </c>
      <c r="AJ78" s="90">
        <f t="shared" si="18"/>
        <v>4.4471607419897105E-3</v>
      </c>
      <c r="AK78" s="74">
        <f>'Dépenses BP 2017'!BJ81*AL78</f>
        <v>3.7276736648035433E-3</v>
      </c>
      <c r="AL78" s="90">
        <f t="shared" si="19"/>
        <v>3.7276736648035431E-5</v>
      </c>
      <c r="AM78" s="74">
        <f>'Dépenses BP 2017'!BJ81*AN78</f>
        <v>0.6734944346959858</v>
      </c>
      <c r="AN78" s="90">
        <f t="shared" si="20"/>
        <v>6.7349443469598581E-3</v>
      </c>
      <c r="AO78" s="74">
        <f>'Dépenses BP 2017'!BJ81*AP78</f>
        <v>1.1117901854974277</v>
      </c>
      <c r="AP78" s="342">
        <f t="shared" si="21"/>
        <v>1.1117901854974277E-2</v>
      </c>
      <c r="AQ78" s="74">
        <f>'Dépenses BP 2017'!N81</f>
        <v>11.248431038269782</v>
      </c>
      <c r="AR78" s="90">
        <f>'Dépenses BP 2017'!O81</f>
        <v>0.11248431038269782</v>
      </c>
      <c r="AS78" s="133"/>
      <c r="AT78" s="54">
        <f t="shared" si="5"/>
        <v>0</v>
      </c>
      <c r="AU78" s="74">
        <f>'Dépenses BP 2017'!BJ81*AV78</f>
        <v>4.0763749065885317</v>
      </c>
      <c r="AV78" s="342">
        <f t="shared" si="22"/>
        <v>4.076374906588532E-2</v>
      </c>
      <c r="AW78" s="74">
        <f>'Dépenses BP 2017'!BJ81*AX78</f>
        <v>7.7269414577792905E-2</v>
      </c>
      <c r="AX78" s="342">
        <f t="shared" si="23"/>
        <v>7.726941457779291E-4</v>
      </c>
      <c r="AY78" s="74">
        <f>'Dépenses BP 2017'!Q81</f>
        <v>4.1536443211663254</v>
      </c>
      <c r="AZ78" s="90">
        <f>'Dépenses BP 2017'!R81</f>
        <v>4.1536443211663256E-2</v>
      </c>
      <c r="BA78" s="133"/>
      <c r="BB78" s="211"/>
      <c r="BC78" s="78">
        <f>'Dépenses BP 2017'!Q81</f>
        <v>4.1536443211663254</v>
      </c>
      <c r="BD78" s="89">
        <f>'Dépenses BP 2017'!R81</f>
        <v>4.1536443211663256E-2</v>
      </c>
      <c r="BE78" s="78"/>
      <c r="BF78" s="54"/>
      <c r="BG78" s="82">
        <f>'Dépenses BP 2017'!T81</f>
        <v>21.026971516930033</v>
      </c>
      <c r="BH78" s="87">
        <f>'Dépenses BP 2017'!U81</f>
        <v>0.21026971516930029</v>
      </c>
      <c r="BI78" s="82"/>
      <c r="BJ78" s="205">
        <f t="shared" si="6"/>
        <v>0</v>
      </c>
      <c r="BK78" s="205"/>
    </row>
    <row r="79" spans="1:63">
      <c r="A79" s="1584" t="str">
        <f>'Dépenses BP 2017'!A82</f>
        <v xml:space="preserve">ML - Entretien des locaux </v>
      </c>
      <c r="B79" s="61"/>
      <c r="C79" s="94"/>
      <c r="D79" s="61"/>
      <c r="E79" s="94"/>
      <c r="F79" s="61"/>
      <c r="G79" s="94"/>
      <c r="H79" s="94"/>
      <c r="I79" s="61"/>
      <c r="J79" s="94"/>
      <c r="K79" s="61"/>
      <c r="L79" s="94"/>
      <c r="M79" s="61"/>
      <c r="N79" s="58"/>
      <c r="O79" s="69"/>
      <c r="P79" s="92"/>
      <c r="Q79" s="69"/>
      <c r="R79" s="92"/>
      <c r="S79" s="69"/>
      <c r="T79" s="92"/>
      <c r="U79" s="69"/>
      <c r="V79" s="92"/>
      <c r="W79" s="69"/>
      <c r="X79" s="54"/>
      <c r="Y79" s="74"/>
      <c r="Z79" s="90"/>
      <c r="AA79" s="74"/>
      <c r="AB79" s="90"/>
      <c r="AC79" s="74"/>
      <c r="AD79" s="90"/>
      <c r="AE79" s="128"/>
      <c r="AF79" s="128"/>
      <c r="AG79" s="74"/>
      <c r="AH79" s="90"/>
      <c r="AI79" s="74"/>
      <c r="AJ79" s="90"/>
      <c r="AK79" s="74"/>
      <c r="AL79" s="90"/>
      <c r="AM79" s="74"/>
      <c r="AN79" s="90"/>
      <c r="AO79" s="90"/>
      <c r="AP79" s="90"/>
      <c r="AQ79" s="74"/>
      <c r="AR79" s="90"/>
      <c r="AS79" s="133"/>
      <c r="AT79" s="54">
        <f t="shared" si="5"/>
        <v>0</v>
      </c>
      <c r="AU79" s="74"/>
      <c r="AV79" s="90"/>
      <c r="AW79" s="90"/>
      <c r="AX79" s="90"/>
      <c r="AY79" s="74"/>
      <c r="AZ79" s="90"/>
      <c r="BA79" s="133"/>
      <c r="BB79" s="211"/>
      <c r="BC79" s="78"/>
      <c r="BD79" s="89"/>
      <c r="BE79" s="78"/>
      <c r="BF79" s="54"/>
      <c r="BG79" s="82"/>
      <c r="BH79" s="87"/>
      <c r="BI79" s="82"/>
      <c r="BJ79" s="205">
        <f t="shared" si="6"/>
        <v>0</v>
      </c>
      <c r="BK79" s="205"/>
    </row>
    <row r="80" spans="1:63">
      <c r="A80" s="1584" t="str">
        <f>'Dépenses BP 2017'!A83</f>
        <v xml:space="preserve">MDE/CBE - Entretien des locaux </v>
      </c>
      <c r="B80" s="61">
        <f>'Dépenses BP 2017'!BJ83*C80</f>
        <v>0</v>
      </c>
      <c r="C80" s="94">
        <f>$C$6/($BI$6+$BK$6)</f>
        <v>6.5078507260021998E-2</v>
      </c>
      <c r="D80" s="61">
        <f>'Dépenses BP 2017'!BJ83*E80</f>
        <v>0</v>
      </c>
      <c r="E80" s="94">
        <f>$E$6/($BI$6+$BK$6)</f>
        <v>0</v>
      </c>
      <c r="F80" s="61">
        <f>'Dépenses BP 2017'!B83</f>
        <v>0</v>
      </c>
      <c r="G80" s="94">
        <f>'Dépenses BP 2017'!C83</f>
        <v>6.5078507260021998E-2</v>
      </c>
      <c r="H80" s="94"/>
      <c r="I80" s="61">
        <f>'Dépenses BP 2017'!E83</f>
        <v>0</v>
      </c>
      <c r="J80" s="94">
        <f>'Dépenses BP 2017'!F83</f>
        <v>0</v>
      </c>
      <c r="K80" s="61">
        <f>'Dépenses BP 2017'!G83</f>
        <v>0</v>
      </c>
      <c r="L80" s="94">
        <f>'Dépenses BP 2017'!H83</f>
        <v>6.5078507260021998E-2</v>
      </c>
      <c r="M80" s="61"/>
      <c r="N80" s="58"/>
      <c r="O80" s="69">
        <f>'Dépenses BP 2017'!T83*P80</f>
        <v>0</v>
      </c>
      <c r="P80" s="92">
        <f>$P$6/($BI$6+$BK$6)</f>
        <v>0.12977812937010569</v>
      </c>
      <c r="Q80" s="69">
        <f>'Dépenses BP 2017'!T83*R80</f>
        <v>0</v>
      </c>
      <c r="R80" s="92">
        <f>$R$6/($BI$6+$BK$6)</f>
        <v>2.0532137940355563E-2</v>
      </c>
      <c r="S80" s="69">
        <f>'Dépenses BP 2017'!BJ83*T80</f>
        <v>0</v>
      </c>
      <c r="T80" s="92">
        <f>$T$6/($BI$6+$BK$6)</f>
        <v>1.2355141227495502E-2</v>
      </c>
      <c r="U80" s="69">
        <f>'Dépenses BP 2017'!K83</f>
        <v>0</v>
      </c>
      <c r="V80" s="92">
        <f>'Dépenses BP 2017'!L83</f>
        <v>0.16266540853795675</v>
      </c>
      <c r="W80" s="69"/>
      <c r="X80" s="54"/>
      <c r="Y80" s="74">
        <f>'Dépenses BP 2017'!BJ83*Z80</f>
        <v>0</v>
      </c>
      <c r="Z80" s="90">
        <f>$Z$6/($BI$6+$BK$6)</f>
        <v>0</v>
      </c>
      <c r="AA80" s="74">
        <f>'Dépenses BP 2017'!BJ83*AB80</f>
        <v>0</v>
      </c>
      <c r="AB80" s="90">
        <f>$AB$6/($BI$6+$BK$6)</f>
        <v>0</v>
      </c>
      <c r="AC80" s="74">
        <f>'Dépenses BP 2017'!BJ83*AD80</f>
        <v>0</v>
      </c>
      <c r="AD80" s="90">
        <f>$AD$6/($BI$6+$BK$6)</f>
        <v>0.16692726014108036</v>
      </c>
      <c r="AE80" s="128"/>
      <c r="AF80" s="128"/>
      <c r="AG80" s="74">
        <f>'Dépenses BP 2017'!BJ83*AH80</f>
        <v>0</v>
      </c>
      <c r="AH80" s="90">
        <f>$AH$6/($BI$6+$BK$6)</f>
        <v>0.19806502209571911</v>
      </c>
      <c r="AI80" s="74">
        <f>'Dépenses BP 2017'!BJ83*AJ80</f>
        <v>0</v>
      </c>
      <c r="AJ80" s="90">
        <f>$AJ$6/($BI$6+$BK$6)</f>
        <v>1.8005911099610826E-2</v>
      </c>
      <c r="AK80" s="74">
        <f>'Dépenses BP 2017'!BJ83*AL80</f>
        <v>0</v>
      </c>
      <c r="AL80" s="90">
        <f>$AL$6/($BI$6+$BK$6)</f>
        <v>1.509281191099532E-4</v>
      </c>
      <c r="AM80" s="74">
        <f>'Dépenses BP 2017'!BJ83*AN80</f>
        <v>0</v>
      </c>
      <c r="AN80" s="90">
        <f>$AN$6/($BI$6+$BK$6)</f>
        <v>2.7268816264538406E-2</v>
      </c>
      <c r="AO80" s="74">
        <f>'Dépenses BP 2017'!BJ83*AP80</f>
        <v>0</v>
      </c>
      <c r="AP80" s="90">
        <f>$AP$6/($BI$6+$BK$6)</f>
        <v>4.5014777749027075E-2</v>
      </c>
      <c r="AQ80" s="74">
        <f>'Dépenses BP 2017'!N83</f>
        <v>0</v>
      </c>
      <c r="AR80" s="90">
        <f>'Dépenses BP 2017'!O83</f>
        <v>0.45543271546908581</v>
      </c>
      <c r="AS80" s="133"/>
      <c r="AT80" s="54">
        <f t="shared" si="5"/>
        <v>0</v>
      </c>
      <c r="AU80" s="74">
        <f>'Dépenses BP 2017'!BJ83*AV80</f>
        <v>0</v>
      </c>
      <c r="AV80" s="90">
        <f>$AV$6/($BI$6+$BK$6)</f>
        <v>0.16504652841461723</v>
      </c>
      <c r="AW80" s="74">
        <f>'Dépenses BP 2017'!BJ83*AX80</f>
        <v>0</v>
      </c>
      <c r="AX80" s="90">
        <f>$AX$6/($BI$6+$BK$6)</f>
        <v>3.128526919367043E-3</v>
      </c>
      <c r="AY80" s="74">
        <f>'Dépenses BP 2017'!Q83</f>
        <v>0</v>
      </c>
      <c r="AZ80" s="90">
        <f>'Dépenses BP 2017'!R83</f>
        <v>0.16817505533398427</v>
      </c>
      <c r="BA80" s="133"/>
      <c r="BB80" s="211"/>
      <c r="BC80" s="78">
        <f>'Dépenses BP 2017'!Q83</f>
        <v>0</v>
      </c>
      <c r="BD80" s="89">
        <f>'Dépenses BP 2017'!R83</f>
        <v>0.16817505533398427</v>
      </c>
      <c r="BE80" s="78"/>
      <c r="BF80" s="54"/>
      <c r="BG80" s="82">
        <f>'Dépenses BP 2017'!T83</f>
        <v>0</v>
      </c>
      <c r="BH80" s="87">
        <f>'Dépenses BP 2017'!U83</f>
        <v>0.85135168660104887</v>
      </c>
      <c r="BI80" s="82"/>
      <c r="BJ80" s="205">
        <f t="shared" si="6"/>
        <v>0</v>
      </c>
      <c r="BK80" s="205"/>
    </row>
    <row r="81" spans="1:63">
      <c r="A81" s="1584" t="str">
        <f>'Dépenses BP 2017'!A84</f>
        <v xml:space="preserve">MEF - Entretien matériel </v>
      </c>
      <c r="B81" s="61">
        <f>'Dépenses BP 2017'!BJ84*C81</f>
        <v>1.6073309538905667</v>
      </c>
      <c r="C81" s="94">
        <f t="shared" ref="C81:C86" si="24">$C$6/$BJ$6</f>
        <v>1.6073309538905668E-2</v>
      </c>
      <c r="D81" s="61">
        <f>'Dépenses BP 2017'!BJ84*E81</f>
        <v>0</v>
      </c>
      <c r="E81" s="94">
        <f t="shared" ref="E81:E86" si="25">$E$6/$BJ$6</f>
        <v>0</v>
      </c>
      <c r="F81" s="61">
        <f>'Dépenses BP 2017'!B84</f>
        <v>1.6073309538905667</v>
      </c>
      <c r="G81" s="94">
        <f>'Dépenses BP 2017'!C84</f>
        <v>1.6073309538905668E-2</v>
      </c>
      <c r="H81" s="94"/>
      <c r="I81" s="61">
        <f>'Dépenses BP 2017'!E84</f>
        <v>0</v>
      </c>
      <c r="J81" s="94">
        <f>'Dépenses BP 2017'!F84</f>
        <v>0</v>
      </c>
      <c r="K81" s="61">
        <f>'Dépenses BP 2017'!G84</f>
        <v>1.6073309538905667</v>
      </c>
      <c r="L81" s="94">
        <f>'Dépenses BP 2017'!H84</f>
        <v>1.6073309538905668E-2</v>
      </c>
      <c r="M81" s="61"/>
      <c r="N81" s="58"/>
      <c r="O81" s="69">
        <f>'Dépenses BP 2017'!BJ84*P81</f>
        <v>3.2053040743718322</v>
      </c>
      <c r="P81" s="92">
        <f t="shared" ref="P81:P86" si="26">$P$6/$BJ$6</f>
        <v>3.2053040743718321E-2</v>
      </c>
      <c r="Q81" s="69">
        <f>'Dépenses BP 2017'!BJ84*R81</f>
        <v>0.50710967799591244</v>
      </c>
      <c r="R81" s="92">
        <f t="shared" ref="R81:R86" si="27">$R$6/$BJ$6</f>
        <v>5.0710967799591248E-3</v>
      </c>
      <c r="S81" s="69">
        <f>'Dépenses BP 2017'!BJ84*T81</f>
        <v>0.30515145123561183</v>
      </c>
      <c r="T81" s="92">
        <f t="shared" ref="T81:T86" si="28">$T$6/$BJ$6</f>
        <v>3.0515145123561184E-3</v>
      </c>
      <c r="U81" s="69">
        <f>'Dépenses BP 2017'!K84</f>
        <v>4.0175652036033567</v>
      </c>
      <c r="V81" s="92">
        <f>'Dépenses BP 2017'!L84</f>
        <v>4.0175652036033564E-2</v>
      </c>
      <c r="W81" s="69"/>
      <c r="X81" s="54"/>
      <c r="Y81" s="74">
        <f>'Dépenses BP 2017'!BJ84*Z81</f>
        <v>0</v>
      </c>
      <c r="Z81" s="90">
        <f t="shared" ref="Z81:Z86" si="29">$Z$6/$BJ$6</f>
        <v>0</v>
      </c>
      <c r="AA81" s="74">
        <f>'Dépenses BP 2017'!BJ84*AB81</f>
        <v>0</v>
      </c>
      <c r="AB81" s="90">
        <f t="shared" ref="AB81:AB86" si="30">$AB$6/$BJ$6</f>
        <v>0</v>
      </c>
      <c r="AC81" s="74">
        <f>'Dépenses BP 2017'!BJ84*AD81</f>
        <v>4.1228258540239118</v>
      </c>
      <c r="AD81" s="90">
        <f t="shared" ref="AD81:AD86" si="31">$AD$6/$BJ$6</f>
        <v>4.1228258540239121E-2</v>
      </c>
      <c r="AE81" s="128"/>
      <c r="AF81" s="128"/>
      <c r="AG81" s="74">
        <f>'Dépenses BP 2017'!BJ84*AH81</f>
        <v>4.8918768161886819</v>
      </c>
      <c r="AH81" s="90">
        <f t="shared" ref="AH81:AH86" si="32">$AH$6/$BJ$6</f>
        <v>4.8918768161886818E-2</v>
      </c>
      <c r="AI81" s="74">
        <f>'Dépenses BP 2017'!BJ84*AJ81</f>
        <v>0.44471607419897102</v>
      </c>
      <c r="AJ81" s="90">
        <f t="shared" ref="AJ81:AJ86" si="33">$AJ$6/$BJ$6</f>
        <v>4.4471607419897105E-3</v>
      </c>
      <c r="AK81" s="74">
        <f>'Dépenses BP 2017'!BJ84*AL81</f>
        <v>3.7276736648035433E-3</v>
      </c>
      <c r="AL81" s="90">
        <f t="shared" ref="AL81:AL86" si="34">$AL$6/$BJ$6</f>
        <v>3.7276736648035431E-5</v>
      </c>
      <c r="AM81" s="74">
        <f>'Dépenses BP 2017'!BJ84*AN81</f>
        <v>0.6734944346959858</v>
      </c>
      <c r="AN81" s="90">
        <f t="shared" ref="AN81:AN86" si="35">$AN$6/$BJ$6</f>
        <v>6.7349443469598581E-3</v>
      </c>
      <c r="AO81" s="74">
        <f>'Dépenses BP 2017'!BJ84*AP81</f>
        <v>1.1117901854974277</v>
      </c>
      <c r="AP81" s="342">
        <f t="shared" ref="AP81:AP86" si="36">$AP$6/$BJ$6</f>
        <v>1.1117901854974277E-2</v>
      </c>
      <c r="AQ81" s="74">
        <f>'Dépenses BP 2017'!N84</f>
        <v>11.248431038269782</v>
      </c>
      <c r="AR81" s="90">
        <f>'Dépenses BP 2017'!O84</f>
        <v>0.11248431038269782</v>
      </c>
      <c r="AS81" s="133"/>
      <c r="AT81" s="54">
        <f t="shared" si="5"/>
        <v>0</v>
      </c>
      <c r="AU81" s="74">
        <f>'Dépenses BP 2017'!BJ84*AV81</f>
        <v>4.0763749065885317</v>
      </c>
      <c r="AV81" s="342">
        <f t="shared" ref="AV81:AV86" si="37">$AV$6/$BJ$6</f>
        <v>4.076374906588532E-2</v>
      </c>
      <c r="AW81" s="74">
        <f>'Dépenses BP 2017'!BJ84*AX81</f>
        <v>7.7269414577792905E-2</v>
      </c>
      <c r="AX81" s="342">
        <f t="shared" ref="AX81:AX88" si="38">$AX$6/$BJ$6</f>
        <v>7.726941457779291E-4</v>
      </c>
      <c r="AY81" s="74">
        <f>'Dépenses BP 2017'!Q84</f>
        <v>4.1536443211663254</v>
      </c>
      <c r="AZ81" s="90">
        <f>'Dépenses BP 2017'!R84</f>
        <v>4.1536443211663256E-2</v>
      </c>
      <c r="BA81" s="133"/>
      <c r="BB81" s="211"/>
      <c r="BC81" s="78">
        <f>'Dépenses BP 2017'!Q84</f>
        <v>4.1536443211663254</v>
      </c>
      <c r="BD81" s="89">
        <f>'Dépenses BP 2017'!R84</f>
        <v>4.1536443211663256E-2</v>
      </c>
      <c r="BE81" s="78"/>
      <c r="BF81" s="54"/>
      <c r="BG81" s="82">
        <f>'Dépenses BP 2017'!T84</f>
        <v>21.026971516930033</v>
      </c>
      <c r="BH81" s="87">
        <f>'Dépenses BP 2017'!U84</f>
        <v>0.21026971516930029</v>
      </c>
      <c r="BI81" s="82"/>
      <c r="BJ81" s="205">
        <f t="shared" si="6"/>
        <v>0</v>
      </c>
      <c r="BK81" s="205"/>
    </row>
    <row r="82" spans="1:63">
      <c r="A82" s="1584" t="str">
        <f>'Dépenses BP 2017'!A85</f>
        <v>Entretien matériel de tpt</v>
      </c>
      <c r="B82" s="61">
        <f>'Dépenses BP 2017'!BJ85*C82</f>
        <v>6.4293238155622667</v>
      </c>
      <c r="C82" s="94">
        <f t="shared" si="24"/>
        <v>1.6073309538905668E-2</v>
      </c>
      <c r="D82" s="61">
        <f>'Dépenses BP 2017'!BJ85*E82</f>
        <v>0</v>
      </c>
      <c r="E82" s="94">
        <f t="shared" si="25"/>
        <v>0</v>
      </c>
      <c r="F82" s="61">
        <f>'Dépenses BP 2017'!B85</f>
        <v>6.4293238155622667</v>
      </c>
      <c r="G82" s="94">
        <f>'Dépenses BP 2017'!C85</f>
        <v>1.6073309538905668E-2</v>
      </c>
      <c r="H82" s="94"/>
      <c r="I82" s="61">
        <f>'Dépenses BP 2017'!E85</f>
        <v>0</v>
      </c>
      <c r="J82" s="94">
        <f>'Dépenses BP 2017'!F85</f>
        <v>0</v>
      </c>
      <c r="K82" s="61">
        <f>'Dépenses BP 2017'!G85</f>
        <v>6.4293238155622667</v>
      </c>
      <c r="L82" s="94">
        <f>'Dépenses BP 2017'!H85</f>
        <v>1.6073309538905668E-2</v>
      </c>
      <c r="M82" s="61"/>
      <c r="N82" s="58"/>
      <c r="O82" s="69">
        <f>'Dépenses BP 2017'!BJ85*P82</f>
        <v>12.821216297487329</v>
      </c>
      <c r="P82" s="92">
        <f t="shared" si="26"/>
        <v>3.2053040743718321E-2</v>
      </c>
      <c r="Q82" s="69">
        <f>'Dépenses BP 2017'!BJ85*R82</f>
        <v>2.0284387119836498</v>
      </c>
      <c r="R82" s="92">
        <f t="shared" si="27"/>
        <v>5.0710967799591248E-3</v>
      </c>
      <c r="S82" s="69">
        <f>'Dépenses BP 2017'!BJ85*T82</f>
        <v>1.2206058049424473</v>
      </c>
      <c r="T82" s="92">
        <f t="shared" si="28"/>
        <v>3.0515145123561184E-3</v>
      </c>
      <c r="U82" s="69">
        <f>'Dépenses BP 2017'!K85</f>
        <v>16.070260814413427</v>
      </c>
      <c r="V82" s="92">
        <f>'Dépenses BP 2017'!L85</f>
        <v>4.0175652036033564E-2</v>
      </c>
      <c r="W82" s="69"/>
      <c r="X82" s="54"/>
      <c r="Y82" s="74">
        <f>'Dépenses BP 2017'!BJ85*Z82</f>
        <v>0</v>
      </c>
      <c r="Z82" s="90">
        <f t="shared" si="29"/>
        <v>0</v>
      </c>
      <c r="AA82" s="74">
        <f>'Dépenses BP 2017'!BJ85*AB82</f>
        <v>0</v>
      </c>
      <c r="AB82" s="90">
        <f t="shared" si="30"/>
        <v>0</v>
      </c>
      <c r="AC82" s="74">
        <f>'Dépenses BP 2017'!BJ85*AD82</f>
        <v>16.491303416095647</v>
      </c>
      <c r="AD82" s="90">
        <f t="shared" si="31"/>
        <v>4.1228258540239121E-2</v>
      </c>
      <c r="AE82" s="128"/>
      <c r="AF82" s="128"/>
      <c r="AG82" s="74">
        <f>'Dépenses BP 2017'!BJ85*AH82</f>
        <v>19.567507264754727</v>
      </c>
      <c r="AH82" s="90">
        <f t="shared" si="32"/>
        <v>4.8918768161886818E-2</v>
      </c>
      <c r="AI82" s="74">
        <f>'Dépenses BP 2017'!BJ85*AJ82</f>
        <v>1.7788642967958841</v>
      </c>
      <c r="AJ82" s="90">
        <f t="shared" si="33"/>
        <v>4.4471607419897105E-3</v>
      </c>
      <c r="AK82" s="74">
        <f>'Dépenses BP 2017'!BJ85*AL82</f>
        <v>1.4910694659214173E-2</v>
      </c>
      <c r="AL82" s="90">
        <f t="shared" si="34"/>
        <v>3.7276736648035431E-5</v>
      </c>
      <c r="AM82" s="74">
        <f>'Dépenses BP 2017'!BJ85*AN82</f>
        <v>2.6939777387839432</v>
      </c>
      <c r="AN82" s="90">
        <f t="shared" si="35"/>
        <v>6.7349443469598581E-3</v>
      </c>
      <c r="AO82" s="74">
        <f>'Dépenses BP 2017'!BJ85*AP82</f>
        <v>4.4471607419897108</v>
      </c>
      <c r="AP82" s="342">
        <f t="shared" si="36"/>
        <v>1.1117901854974277E-2</v>
      </c>
      <c r="AQ82" s="74">
        <f>'Dépenses BP 2017'!N85</f>
        <v>44.993724153079128</v>
      </c>
      <c r="AR82" s="90">
        <f>'Dépenses BP 2017'!O85</f>
        <v>0.11248431038269782</v>
      </c>
      <c r="AS82" s="133"/>
      <c r="AT82" s="54">
        <f t="shared" si="5"/>
        <v>0</v>
      </c>
      <c r="AU82" s="74">
        <f>'Dépenses BP 2017'!BJ85*AV82</f>
        <v>16.305499626354127</v>
      </c>
      <c r="AV82" s="342">
        <f t="shared" si="37"/>
        <v>4.076374906588532E-2</v>
      </c>
      <c r="AW82" s="74">
        <f>'Dépenses BP 2017'!BJ85*AX82</f>
        <v>0.30907765831117162</v>
      </c>
      <c r="AX82" s="342">
        <f t="shared" si="38"/>
        <v>7.726941457779291E-4</v>
      </c>
      <c r="AY82" s="74">
        <f>'Dépenses BP 2017'!Q85</f>
        <v>16.614577284665302</v>
      </c>
      <c r="AZ82" s="90">
        <f>'Dépenses BP 2017'!R85</f>
        <v>4.1536443211663256E-2</v>
      </c>
      <c r="BA82" s="133"/>
      <c r="BB82" s="211"/>
      <c r="BC82" s="78">
        <f>'Dépenses BP 2017'!Q85</f>
        <v>16.614577284665302</v>
      </c>
      <c r="BD82" s="89">
        <f>'Dépenses BP 2017'!R85</f>
        <v>4.1536443211663256E-2</v>
      </c>
      <c r="BE82" s="78"/>
      <c r="BF82" s="54"/>
      <c r="BG82" s="82">
        <f>'Dépenses BP 2017'!T85</f>
        <v>84.107886067720131</v>
      </c>
      <c r="BH82" s="87">
        <f>'Dépenses BP 2017'!U85</f>
        <v>0.21026971516930029</v>
      </c>
      <c r="BI82" s="82"/>
      <c r="BJ82" s="205">
        <f t="shared" si="6"/>
        <v>0</v>
      </c>
      <c r="BK82" s="205"/>
    </row>
    <row r="83" spans="1:63">
      <c r="A83" s="1584" t="str">
        <f>'Dépenses BP 2017'!A86</f>
        <v>MEF - Maintenance photocopieur</v>
      </c>
      <c r="B83" s="61">
        <f>'Dépenses BP 2017'!BJ86*C83</f>
        <v>57.863914340060404</v>
      </c>
      <c r="C83" s="94">
        <f t="shared" si="24"/>
        <v>1.6073309538905668E-2</v>
      </c>
      <c r="D83" s="61">
        <f>'Dépenses BP 2017'!BJ86*E83</f>
        <v>0</v>
      </c>
      <c r="E83" s="94">
        <f t="shared" si="25"/>
        <v>0</v>
      </c>
      <c r="F83" s="61">
        <f>'Dépenses BP 2017'!B86</f>
        <v>57.863914340060404</v>
      </c>
      <c r="G83" s="94">
        <f>'Dépenses BP 2017'!C86</f>
        <v>1.6073309538905668E-2</v>
      </c>
      <c r="H83" s="94"/>
      <c r="I83" s="61">
        <f>'Dépenses BP 2017'!E86</f>
        <v>0</v>
      </c>
      <c r="J83" s="94">
        <f>'Dépenses BP 2017'!F86</f>
        <v>0</v>
      </c>
      <c r="K83" s="61">
        <f>'Dépenses BP 2017'!G86</f>
        <v>57.863914340060404</v>
      </c>
      <c r="L83" s="94">
        <f>'Dépenses BP 2017'!H86</f>
        <v>1.6073309538905668E-2</v>
      </c>
      <c r="M83" s="61"/>
      <c r="N83" s="58"/>
      <c r="O83" s="69">
        <f>'Dépenses BP 2017'!BJ86*P83</f>
        <v>115.39094667738595</v>
      </c>
      <c r="P83" s="92">
        <f t="shared" si="26"/>
        <v>3.2053040743718321E-2</v>
      </c>
      <c r="Q83" s="69">
        <f>'Dépenses BP 2017'!BJ86*R83</f>
        <v>18.255948407852848</v>
      </c>
      <c r="R83" s="92">
        <f t="shared" si="27"/>
        <v>5.0710967799591248E-3</v>
      </c>
      <c r="S83" s="69">
        <f>'Dépenses BP 2017'!BJ86*T83</f>
        <v>10.985452244482026</v>
      </c>
      <c r="T83" s="92">
        <f t="shared" si="28"/>
        <v>3.0515145123561184E-3</v>
      </c>
      <c r="U83" s="69">
        <f>'Dépenses BP 2017'!K86</f>
        <v>144.63234732972083</v>
      </c>
      <c r="V83" s="92">
        <f>'Dépenses BP 2017'!L86</f>
        <v>4.0175652036033564E-2</v>
      </c>
      <c r="W83" s="69"/>
      <c r="X83" s="54"/>
      <c r="Y83" s="74">
        <f>'Dépenses BP 2017'!BJ86*Z83</f>
        <v>0</v>
      </c>
      <c r="Z83" s="90">
        <f t="shared" si="29"/>
        <v>0</v>
      </c>
      <c r="AA83" s="74">
        <f>'Dépenses BP 2017'!BJ86*AB83</f>
        <v>0</v>
      </c>
      <c r="AB83" s="90">
        <f t="shared" si="30"/>
        <v>0</v>
      </c>
      <c r="AC83" s="74">
        <f>'Dépenses BP 2017'!BJ86*AD83</f>
        <v>148.42173074486084</v>
      </c>
      <c r="AD83" s="90">
        <f t="shared" si="31"/>
        <v>4.1228258540239121E-2</v>
      </c>
      <c r="AE83" s="128"/>
      <c r="AF83" s="128"/>
      <c r="AG83" s="74">
        <f>'Dépenses BP 2017'!BJ86*AH83</f>
        <v>176.10756538279256</v>
      </c>
      <c r="AH83" s="90">
        <f t="shared" si="32"/>
        <v>4.8918768161886818E-2</v>
      </c>
      <c r="AI83" s="74">
        <f>'Dépenses BP 2017'!BJ86*AJ83</f>
        <v>16.009778671162959</v>
      </c>
      <c r="AJ83" s="90">
        <f t="shared" si="33"/>
        <v>4.4471607419897105E-3</v>
      </c>
      <c r="AK83" s="74">
        <f>'Dépenses BP 2017'!BJ86*AL83</f>
        <v>0.13419625193292756</v>
      </c>
      <c r="AL83" s="90">
        <f t="shared" si="34"/>
        <v>3.7276736648035431E-5</v>
      </c>
      <c r="AM83" s="74">
        <f>'Dépenses BP 2017'!BJ86*AN83</f>
        <v>24.245799649055488</v>
      </c>
      <c r="AN83" s="90">
        <f t="shared" si="35"/>
        <v>6.7349443469598581E-3</v>
      </c>
      <c r="AO83" s="74">
        <f>'Dépenses BP 2017'!BJ86*AP83</f>
        <v>40.024446677907399</v>
      </c>
      <c r="AP83" s="342">
        <f t="shared" si="36"/>
        <v>1.1117901854974277E-2</v>
      </c>
      <c r="AQ83" s="74">
        <f>'Dépenses BP 2017'!N86</f>
        <v>404.94351737771217</v>
      </c>
      <c r="AR83" s="90">
        <f>'Dépenses BP 2017'!O86</f>
        <v>0.11248431038269782</v>
      </c>
      <c r="AS83" s="133"/>
      <c r="AT83" s="54">
        <f t="shared" si="5"/>
        <v>0</v>
      </c>
      <c r="AU83" s="74">
        <f>'Dépenses BP 2017'!BJ86*AV83</f>
        <v>146.74949663718715</v>
      </c>
      <c r="AV83" s="342">
        <f t="shared" si="37"/>
        <v>4.076374906588532E-2</v>
      </c>
      <c r="AW83" s="74">
        <f>'Dépenses BP 2017'!BJ86*AX83</f>
        <v>2.7816989248005446</v>
      </c>
      <c r="AX83" s="342">
        <f t="shared" si="38"/>
        <v>7.726941457779291E-4</v>
      </c>
      <c r="AY83" s="74">
        <f>'Dépenses BP 2017'!Q86</f>
        <v>149.53119556198772</v>
      </c>
      <c r="AZ83" s="90">
        <f>'Dépenses BP 2017'!R86</f>
        <v>4.1536443211663256E-2</v>
      </c>
      <c r="BA83" s="133"/>
      <c r="BB83" s="211"/>
      <c r="BC83" s="78">
        <f>'Dépenses BP 2017'!Q86</f>
        <v>149.53119556198772</v>
      </c>
      <c r="BD83" s="89">
        <f>'Dépenses BP 2017'!R86</f>
        <v>4.1536443211663256E-2</v>
      </c>
      <c r="BE83" s="78"/>
      <c r="BF83" s="54"/>
      <c r="BG83" s="82">
        <f>'Dépenses BP 2017'!T86</f>
        <v>756.97097460948112</v>
      </c>
      <c r="BH83" s="87">
        <f>'Dépenses BP 2017'!U86</f>
        <v>0.21026971516930029</v>
      </c>
      <c r="BI83" s="82"/>
      <c r="BJ83" s="205">
        <f t="shared" si="6"/>
        <v>0</v>
      </c>
      <c r="BK83" s="205"/>
    </row>
    <row r="84" spans="1:63">
      <c r="A84" s="1584" t="str">
        <f>'Dépenses BP 2017'!A87</f>
        <v>MEF - Maintenance des locaux</v>
      </c>
      <c r="B84" s="61">
        <f>'Dépenses BP 2017'!BJ87*C84</f>
        <v>0</v>
      </c>
      <c r="C84" s="94">
        <f t="shared" si="24"/>
        <v>1.6073309538905668E-2</v>
      </c>
      <c r="D84" s="61">
        <f>'Dépenses BP 2017'!BJ87*E84</f>
        <v>0</v>
      </c>
      <c r="E84" s="94">
        <f t="shared" si="25"/>
        <v>0</v>
      </c>
      <c r="F84" s="61">
        <f>'Dépenses BP 2017'!B87</f>
        <v>0</v>
      </c>
      <c r="G84" s="94">
        <f>'Dépenses BP 2017'!C87</f>
        <v>1.6073309538905668E-2</v>
      </c>
      <c r="H84" s="94"/>
      <c r="I84" s="61">
        <f>'Dépenses BP 2017'!E87</f>
        <v>0</v>
      </c>
      <c r="J84" s="94">
        <f>'Dépenses BP 2017'!F87</f>
        <v>0</v>
      </c>
      <c r="K84" s="61">
        <f>'Dépenses BP 2017'!G87</f>
        <v>0</v>
      </c>
      <c r="L84" s="94">
        <f>'Dépenses BP 2017'!H87</f>
        <v>1.6073309538905668E-2</v>
      </c>
      <c r="M84" s="61"/>
      <c r="N84" s="58"/>
      <c r="O84" s="69">
        <f>'Dépenses BP 2017'!BJ87*P84</f>
        <v>0</v>
      </c>
      <c r="P84" s="92">
        <f t="shared" si="26"/>
        <v>3.2053040743718321E-2</v>
      </c>
      <c r="Q84" s="69">
        <f>'Dépenses BP 2017'!BJ87*R84</f>
        <v>0</v>
      </c>
      <c r="R84" s="92">
        <f t="shared" si="27"/>
        <v>5.0710967799591248E-3</v>
      </c>
      <c r="S84" s="69">
        <f>'Dépenses BP 2017'!BJ87*T84</f>
        <v>0</v>
      </c>
      <c r="T84" s="92">
        <f t="shared" si="28"/>
        <v>3.0515145123561184E-3</v>
      </c>
      <c r="U84" s="69">
        <f>'Dépenses BP 2017'!K87</f>
        <v>0</v>
      </c>
      <c r="V84" s="92">
        <f>'Dépenses BP 2017'!L87</f>
        <v>4.0175652036033564E-2</v>
      </c>
      <c r="W84" s="69"/>
      <c r="X84" s="54"/>
      <c r="Y84" s="74">
        <f>'Dépenses BP 2017'!BJ87*Z84</f>
        <v>0</v>
      </c>
      <c r="Z84" s="90">
        <f t="shared" si="29"/>
        <v>0</v>
      </c>
      <c r="AA84" s="74">
        <f>'Dépenses BP 2017'!BJ87*AB84</f>
        <v>0</v>
      </c>
      <c r="AB84" s="90">
        <f t="shared" si="30"/>
        <v>0</v>
      </c>
      <c r="AC84" s="74">
        <f>'Dépenses BP 2017'!BJ87*AD84</f>
        <v>0</v>
      </c>
      <c r="AD84" s="90">
        <f t="shared" si="31"/>
        <v>4.1228258540239121E-2</v>
      </c>
      <c r="AE84" s="128"/>
      <c r="AF84" s="128"/>
      <c r="AG84" s="74">
        <f>'Dépenses BP 2017'!BJ87*AH84</f>
        <v>0</v>
      </c>
      <c r="AH84" s="90">
        <f t="shared" si="32"/>
        <v>4.8918768161886818E-2</v>
      </c>
      <c r="AI84" s="74">
        <f>'Dépenses BP 2017'!BJ87*AJ84</f>
        <v>0</v>
      </c>
      <c r="AJ84" s="90">
        <f t="shared" si="33"/>
        <v>4.4471607419897105E-3</v>
      </c>
      <c r="AK84" s="74">
        <f>'Dépenses BP 2017'!BJ87*AL84</f>
        <v>0</v>
      </c>
      <c r="AL84" s="90">
        <f t="shared" si="34"/>
        <v>3.7276736648035431E-5</v>
      </c>
      <c r="AM84" s="74">
        <f>'Dépenses BP 2017'!BJ87*AN84</f>
        <v>0</v>
      </c>
      <c r="AN84" s="90">
        <f t="shared" si="35"/>
        <v>6.7349443469598581E-3</v>
      </c>
      <c r="AO84" s="74">
        <f>'Dépenses BP 2017'!BJ87*AP84</f>
        <v>0</v>
      </c>
      <c r="AP84" s="342">
        <f t="shared" si="36"/>
        <v>1.1117901854974277E-2</v>
      </c>
      <c r="AQ84" s="74">
        <f>'Dépenses BP 2017'!N87</f>
        <v>0</v>
      </c>
      <c r="AR84" s="90">
        <f>'Dépenses BP 2017'!O87</f>
        <v>0.11248431038269782</v>
      </c>
      <c r="AS84" s="133"/>
      <c r="AT84" s="54">
        <f t="shared" si="5"/>
        <v>0</v>
      </c>
      <c r="AU84" s="74">
        <f>'Dépenses BP 2017'!BJ87*AV84</f>
        <v>0</v>
      </c>
      <c r="AV84" s="342">
        <f t="shared" si="37"/>
        <v>4.076374906588532E-2</v>
      </c>
      <c r="AW84" s="74">
        <f>'Dépenses BP 2017'!BJ87*AX84</f>
        <v>0</v>
      </c>
      <c r="AX84" s="342">
        <f t="shared" si="38"/>
        <v>7.726941457779291E-4</v>
      </c>
      <c r="AY84" s="74">
        <f>'Dépenses BP 2017'!Q87</f>
        <v>0</v>
      </c>
      <c r="AZ84" s="90">
        <f>'Dépenses BP 2017'!R87</f>
        <v>4.1536443211663256E-2</v>
      </c>
      <c r="BA84" s="133"/>
      <c r="BB84" s="211"/>
      <c r="BC84" s="78">
        <f>'Dépenses BP 2017'!Q87</f>
        <v>0</v>
      </c>
      <c r="BD84" s="89">
        <f>'Dépenses BP 2017'!R87</f>
        <v>4.1536443211663256E-2</v>
      </c>
      <c r="BE84" s="78"/>
      <c r="BF84" s="54"/>
      <c r="BG84" s="82">
        <f>'Dépenses BP 2017'!T87</f>
        <v>0</v>
      </c>
      <c r="BH84" s="87">
        <f>'Dépenses BP 2017'!U87</f>
        <v>0.21026971516930029</v>
      </c>
      <c r="BI84" s="82"/>
      <c r="BJ84" s="205">
        <f t="shared" si="6"/>
        <v>0</v>
      </c>
      <c r="BK84" s="205"/>
    </row>
    <row r="85" spans="1:63">
      <c r="A85" s="1584" t="str">
        <f>'Dépenses BP 2017'!A88</f>
        <v>prime d'assurance</v>
      </c>
      <c r="B85" s="61">
        <f>'Dépenses BP 2017'!BJ88*C85</f>
        <v>27.324626216139634</v>
      </c>
      <c r="C85" s="94">
        <f t="shared" si="24"/>
        <v>1.6073309538905668E-2</v>
      </c>
      <c r="D85" s="61">
        <f>'Dépenses BP 2017'!BJ88*E85</f>
        <v>0</v>
      </c>
      <c r="E85" s="94">
        <f t="shared" si="25"/>
        <v>0</v>
      </c>
      <c r="F85" s="61">
        <f>'Dépenses BP 2017'!B88</f>
        <v>27.324626216139634</v>
      </c>
      <c r="G85" s="94">
        <f>'Dépenses BP 2017'!C88</f>
        <v>1.6073309538905668E-2</v>
      </c>
      <c r="H85" s="94"/>
      <c r="I85" s="61">
        <f>'Dépenses BP 2017'!E88</f>
        <v>0</v>
      </c>
      <c r="J85" s="94">
        <f>'Dépenses BP 2017'!F88</f>
        <v>0</v>
      </c>
      <c r="K85" s="61">
        <f>'Dépenses BP 2017'!G88</f>
        <v>27.324626216139634</v>
      </c>
      <c r="L85" s="94">
        <f>'Dépenses BP 2017'!H88</f>
        <v>1.6073309538905668E-2</v>
      </c>
      <c r="M85" s="61"/>
      <c r="N85" s="58"/>
      <c r="O85" s="69">
        <f>'Dépenses BP 2017'!BJ88*P85</f>
        <v>54.490169264321146</v>
      </c>
      <c r="P85" s="92">
        <f t="shared" si="26"/>
        <v>3.2053040743718321E-2</v>
      </c>
      <c r="Q85" s="69">
        <f>'Dépenses BP 2017'!BJ88*R85</f>
        <v>8.6208645259305126</v>
      </c>
      <c r="R85" s="92">
        <f t="shared" si="27"/>
        <v>5.0710967799591248E-3</v>
      </c>
      <c r="S85" s="69">
        <f>'Dépenses BP 2017'!BJ88*T85</f>
        <v>5.1875746710054012</v>
      </c>
      <c r="T85" s="92">
        <f t="shared" si="28"/>
        <v>3.0515145123561184E-3</v>
      </c>
      <c r="U85" s="69">
        <f>'Dépenses BP 2017'!K88</f>
        <v>68.298608461257061</v>
      </c>
      <c r="V85" s="92">
        <f>'Dépenses BP 2017'!L88</f>
        <v>4.0175652036033564E-2</v>
      </c>
      <c r="W85" s="69"/>
      <c r="X85" s="54"/>
      <c r="Y85" s="74">
        <f>'Dépenses BP 2017'!BJ88*Z85</f>
        <v>0</v>
      </c>
      <c r="Z85" s="90">
        <f t="shared" si="29"/>
        <v>0</v>
      </c>
      <c r="AA85" s="74">
        <f>'Dépenses BP 2017'!BJ88*AB85</f>
        <v>0</v>
      </c>
      <c r="AB85" s="90">
        <f t="shared" si="30"/>
        <v>0</v>
      </c>
      <c r="AC85" s="74">
        <f>'Dépenses BP 2017'!BJ88*AD85</f>
        <v>70.088039518406504</v>
      </c>
      <c r="AD85" s="90">
        <f t="shared" si="31"/>
        <v>4.1228258540239121E-2</v>
      </c>
      <c r="AE85" s="128"/>
      <c r="AF85" s="128"/>
      <c r="AG85" s="74">
        <f>'Dépenses BP 2017'!BJ88*AH85</f>
        <v>83.161905875207594</v>
      </c>
      <c r="AH85" s="90">
        <f t="shared" si="32"/>
        <v>4.8918768161886818E-2</v>
      </c>
      <c r="AI85" s="74">
        <f>'Dépenses BP 2017'!BJ88*AJ85</f>
        <v>7.5601732613825074</v>
      </c>
      <c r="AJ85" s="90">
        <f t="shared" si="33"/>
        <v>4.4471607419897105E-3</v>
      </c>
      <c r="AK85" s="74">
        <f>'Dépenses BP 2017'!BJ88*AL85</f>
        <v>6.3370452301660232E-2</v>
      </c>
      <c r="AL85" s="90">
        <f t="shared" si="34"/>
        <v>3.7276736648035431E-5</v>
      </c>
      <c r="AM85" s="74">
        <f>'Dépenses BP 2017'!BJ88*AN85</f>
        <v>11.449405389831758</v>
      </c>
      <c r="AN85" s="90">
        <f t="shared" si="35"/>
        <v>6.7349443469598581E-3</v>
      </c>
      <c r="AO85" s="74">
        <f>'Dépenses BP 2017'!BJ88*AP85</f>
        <v>18.90043315345627</v>
      </c>
      <c r="AP85" s="342">
        <f t="shared" si="36"/>
        <v>1.1117901854974277E-2</v>
      </c>
      <c r="AQ85" s="74">
        <f>'Dépenses BP 2017'!N88</f>
        <v>191.2233276505863</v>
      </c>
      <c r="AR85" s="90">
        <f>'Dépenses BP 2017'!O88</f>
        <v>0.11248431038269782</v>
      </c>
      <c r="AS85" s="133"/>
      <c r="AT85" s="54">
        <f t="shared" si="5"/>
        <v>0</v>
      </c>
      <c r="AU85" s="74">
        <f>'Dépenses BP 2017'!BJ88*AV85</f>
        <v>69.298373412005049</v>
      </c>
      <c r="AV85" s="342">
        <f t="shared" si="37"/>
        <v>4.076374906588532E-2</v>
      </c>
      <c r="AW85" s="74">
        <f>'Dépenses BP 2017'!BJ88*AX85</f>
        <v>1.3135800478224795</v>
      </c>
      <c r="AX85" s="342">
        <f t="shared" si="38"/>
        <v>7.726941457779291E-4</v>
      </c>
      <c r="AY85" s="74">
        <f>'Dépenses BP 2017'!Q88</f>
        <v>70.611953459827532</v>
      </c>
      <c r="AZ85" s="90">
        <f>'Dépenses BP 2017'!R88</f>
        <v>4.1536443211663256E-2</v>
      </c>
      <c r="BA85" s="133"/>
      <c r="BB85" s="211"/>
      <c r="BC85" s="78">
        <f>'Dépenses BP 2017'!Q88</f>
        <v>70.611953459827532</v>
      </c>
      <c r="BD85" s="89">
        <f>'Dépenses BP 2017'!R88</f>
        <v>4.1536443211663256E-2</v>
      </c>
      <c r="BE85" s="78"/>
      <c r="BF85" s="54"/>
      <c r="BG85" s="82">
        <f>'Dépenses BP 2017'!T88</f>
        <v>357.45851578781054</v>
      </c>
      <c r="BH85" s="87">
        <f>'Dépenses BP 2017'!U88</f>
        <v>0.21026971516930029</v>
      </c>
      <c r="BI85" s="82"/>
      <c r="BJ85" s="205">
        <f t="shared" si="6"/>
        <v>0</v>
      </c>
      <c r="BK85" s="205"/>
    </row>
    <row r="86" spans="1:63">
      <c r="A86" s="1584" t="str">
        <f>'Dépenses BP 2017'!A89</f>
        <v>Doc générale MEF</v>
      </c>
      <c r="B86" s="61">
        <f>'Dépenses BP 2017'!BJ89*C86</f>
        <v>4.8219928616717</v>
      </c>
      <c r="C86" s="94">
        <f t="shared" si="24"/>
        <v>1.6073309538905668E-2</v>
      </c>
      <c r="D86" s="61">
        <f>'Dépenses BP 2017'!BJ89*E86</f>
        <v>0</v>
      </c>
      <c r="E86" s="94">
        <f t="shared" si="25"/>
        <v>0</v>
      </c>
      <c r="F86" s="61">
        <f>'Dépenses BP 2017'!B89</f>
        <v>4.8219928616717</v>
      </c>
      <c r="G86" s="94">
        <f>'Dépenses BP 2017'!C89</f>
        <v>1.6073309538905668E-2</v>
      </c>
      <c r="H86" s="94"/>
      <c r="I86" s="61">
        <f>'Dépenses BP 2017'!E89</f>
        <v>0</v>
      </c>
      <c r="J86" s="94">
        <f>'Dépenses BP 2017'!F89</f>
        <v>0</v>
      </c>
      <c r="K86" s="61">
        <f>'Dépenses BP 2017'!G89</f>
        <v>4.8219928616717</v>
      </c>
      <c r="L86" s="94">
        <f>'Dépenses BP 2017'!H89</f>
        <v>1.6073309538905668E-2</v>
      </c>
      <c r="M86" s="61"/>
      <c r="N86" s="58"/>
      <c r="O86" s="69">
        <f>'Dépenses BP 2017'!BJ89*P86</f>
        <v>9.6159122231154956</v>
      </c>
      <c r="P86" s="92">
        <f t="shared" si="26"/>
        <v>3.2053040743718321E-2</v>
      </c>
      <c r="Q86" s="69">
        <f>'Dépenses BP 2017'!BJ89*R86</f>
        <v>1.5213290339877374</v>
      </c>
      <c r="R86" s="92">
        <f t="shared" si="27"/>
        <v>5.0710967799591248E-3</v>
      </c>
      <c r="S86" s="69">
        <f>'Dépenses BP 2017'!BJ89*T86</f>
        <v>0.91545435370683548</v>
      </c>
      <c r="T86" s="92">
        <f t="shared" si="28"/>
        <v>3.0515145123561184E-3</v>
      </c>
      <c r="U86" s="69">
        <f>'Dépenses BP 2017'!K89</f>
        <v>12.052695610810069</v>
      </c>
      <c r="V86" s="92">
        <f>'Dépenses BP 2017'!L89</f>
        <v>4.0175652036033564E-2</v>
      </c>
      <c r="W86" s="69"/>
      <c r="X86" s="54"/>
      <c r="Y86" s="74">
        <f>'Dépenses BP 2017'!BJ89*Z86</f>
        <v>0</v>
      </c>
      <c r="Z86" s="90">
        <f t="shared" si="29"/>
        <v>0</v>
      </c>
      <c r="AA86" s="74">
        <f>'Dépenses BP 2017'!BJ89*AB86</f>
        <v>0</v>
      </c>
      <c r="AB86" s="90">
        <f t="shared" si="30"/>
        <v>0</v>
      </c>
      <c r="AC86" s="74">
        <f>'Dépenses BP 2017'!BJ89*AD86</f>
        <v>12.368477562071737</v>
      </c>
      <c r="AD86" s="90">
        <f t="shared" si="31"/>
        <v>4.1228258540239121E-2</v>
      </c>
      <c r="AE86" s="128"/>
      <c r="AF86" s="128"/>
      <c r="AG86" s="74">
        <f>'Dépenses BP 2017'!BJ89*AH86</f>
        <v>14.675630448566045</v>
      </c>
      <c r="AH86" s="90">
        <f t="shared" si="32"/>
        <v>4.8918768161886818E-2</v>
      </c>
      <c r="AI86" s="74">
        <f>'Dépenses BP 2017'!BJ89*AJ86</f>
        <v>1.3341482225969132</v>
      </c>
      <c r="AJ86" s="90">
        <f t="shared" si="33"/>
        <v>4.4471607419897105E-3</v>
      </c>
      <c r="AK86" s="74">
        <f>'Dépenses BP 2017'!BJ89*AL86</f>
        <v>1.1183020994410629E-2</v>
      </c>
      <c r="AL86" s="90">
        <f t="shared" si="34"/>
        <v>3.7276736648035431E-5</v>
      </c>
      <c r="AM86" s="74">
        <f>'Dépenses BP 2017'!BJ89*AN86</f>
        <v>2.0204833040879575</v>
      </c>
      <c r="AN86" s="90">
        <f t="shared" si="35"/>
        <v>6.7349443469598581E-3</v>
      </c>
      <c r="AO86" s="74">
        <f>'Dépenses BP 2017'!BJ89*AP86</f>
        <v>3.3353705564922831</v>
      </c>
      <c r="AP86" s="342">
        <f t="shared" si="36"/>
        <v>1.1117901854974277E-2</v>
      </c>
      <c r="AQ86" s="74">
        <f>'Dépenses BP 2017'!N89</f>
        <v>33.74529311480935</v>
      </c>
      <c r="AR86" s="90">
        <f>'Dépenses BP 2017'!O89</f>
        <v>0.11248431038269782</v>
      </c>
      <c r="AS86" s="133"/>
      <c r="AT86" s="54">
        <f t="shared" si="5"/>
        <v>0</v>
      </c>
      <c r="AU86" s="74">
        <f>'Dépenses BP 2017'!BJ89*AV86</f>
        <v>12.229124719765595</v>
      </c>
      <c r="AV86" s="342">
        <f t="shared" si="37"/>
        <v>4.076374906588532E-2</v>
      </c>
      <c r="AW86" s="74">
        <f>'Dépenses BP 2017'!BJ89*AX86</f>
        <v>0.23180824373337874</v>
      </c>
      <c r="AX86" s="342">
        <f t="shared" si="38"/>
        <v>7.726941457779291E-4</v>
      </c>
      <c r="AY86" s="74">
        <f>'Dépenses BP 2017'!Q89</f>
        <v>12.460932963498976</v>
      </c>
      <c r="AZ86" s="90">
        <f>'Dépenses BP 2017'!R89</f>
        <v>4.1536443211663256E-2</v>
      </c>
      <c r="BA86" s="133"/>
      <c r="BB86" s="211"/>
      <c r="BC86" s="78">
        <f>'Dépenses BP 2017'!Q89</f>
        <v>12.460932963498976</v>
      </c>
      <c r="BD86" s="89">
        <f>'Dépenses BP 2017'!R89</f>
        <v>4.1536443211663256E-2</v>
      </c>
      <c r="BE86" s="78"/>
      <c r="BF86" s="54"/>
      <c r="BG86" s="82">
        <f>'Dépenses BP 2017'!T89</f>
        <v>63.080914550790098</v>
      </c>
      <c r="BH86" s="87">
        <f>'Dépenses BP 2017'!U89</f>
        <v>0.21026971516930029</v>
      </c>
      <c r="BI86" s="82"/>
      <c r="BJ86" s="205">
        <f t="shared" si="6"/>
        <v>0</v>
      </c>
      <c r="BK86" s="205"/>
    </row>
    <row r="87" spans="1:63">
      <c r="A87" s="1584" t="str">
        <f>'Dépenses BP 2017'!A90</f>
        <v>Doc données INSEE</v>
      </c>
      <c r="B87" s="61"/>
      <c r="C87" s="94"/>
      <c r="D87" s="61"/>
      <c r="E87" s="94"/>
      <c r="F87" s="61"/>
      <c r="G87" s="94"/>
      <c r="H87" s="94"/>
      <c r="I87" s="61">
        <f>'Dépenses BP 2017'!E90</f>
        <v>0</v>
      </c>
      <c r="J87" s="94">
        <f>'Dépenses BP 2017'!F90</f>
        <v>1</v>
      </c>
      <c r="K87" s="61">
        <f>'Dépenses BP 2017'!G90</f>
        <v>0</v>
      </c>
      <c r="L87" s="94">
        <f>'Dépenses BP 2017'!H90</f>
        <v>1</v>
      </c>
      <c r="M87" s="61"/>
      <c r="N87" s="58"/>
      <c r="O87" s="69">
        <f>'Dépenses BP 2017'!BJ90*P87</f>
        <v>0</v>
      </c>
      <c r="P87" s="92">
        <v>1</v>
      </c>
      <c r="Q87" s="69"/>
      <c r="R87" s="92"/>
      <c r="S87" s="69"/>
      <c r="T87" s="92"/>
      <c r="U87" s="69">
        <f>'Dépenses BP 2017'!K90</f>
        <v>0</v>
      </c>
      <c r="V87" s="92">
        <f>'Dépenses BP 2017'!L90</f>
        <v>1</v>
      </c>
      <c r="W87" s="69"/>
      <c r="X87" s="54"/>
      <c r="Y87" s="74"/>
      <c r="Z87" s="90"/>
      <c r="AA87" s="74"/>
      <c r="AB87" s="90"/>
      <c r="AC87" s="74"/>
      <c r="AD87" s="90"/>
      <c r="AE87" s="128"/>
      <c r="AF87" s="128"/>
      <c r="AG87" s="74"/>
      <c r="AH87" s="90"/>
      <c r="AI87" s="74"/>
      <c r="AJ87" s="90"/>
      <c r="AK87" s="74"/>
      <c r="AL87" s="90"/>
      <c r="AM87" s="74"/>
      <c r="AN87" s="90"/>
      <c r="AO87" s="90"/>
      <c r="AP87" s="90"/>
      <c r="AQ87" s="74"/>
      <c r="AR87" s="90"/>
      <c r="AS87" s="133"/>
      <c r="AT87" s="54">
        <f t="shared" si="5"/>
        <v>0</v>
      </c>
      <c r="AU87" s="74"/>
      <c r="AV87" s="90"/>
      <c r="AW87" s="74"/>
      <c r="AX87" s="342"/>
      <c r="AY87" s="74"/>
      <c r="AZ87" s="90"/>
      <c r="BA87" s="133"/>
      <c r="BB87" s="211"/>
      <c r="BC87" s="78"/>
      <c r="BD87" s="89"/>
      <c r="BE87" s="78"/>
      <c r="BF87" s="54"/>
      <c r="BG87" s="82">
        <f>'Dépenses BP 2017'!T90</f>
        <v>0</v>
      </c>
      <c r="BH87" s="87">
        <f>'Dépenses BP 2017'!U90</f>
        <v>1</v>
      </c>
      <c r="BI87" s="82"/>
      <c r="BJ87" s="205">
        <f t="shared" si="6"/>
        <v>0</v>
      </c>
      <c r="BK87" s="205"/>
    </row>
    <row r="88" spans="1:63">
      <c r="A88" s="1584" t="str">
        <f>'Dépenses BP 2017'!A91</f>
        <v>Formation</v>
      </c>
      <c r="B88" s="61">
        <f>'Dépenses BP 2017'!BJ91*C88</f>
        <v>24.109964308358503</v>
      </c>
      <c r="C88" s="94">
        <f>$C$6/$BJ$6</f>
        <v>1.6073309538905668E-2</v>
      </c>
      <c r="D88" s="61">
        <f>'Dépenses BP 2017'!BJ91*E88</f>
        <v>0</v>
      </c>
      <c r="E88" s="94">
        <f>$E$6/$BJ$6</f>
        <v>0</v>
      </c>
      <c r="F88" s="61">
        <f>'Dépenses BP 2017'!B91</f>
        <v>24.109964308358503</v>
      </c>
      <c r="G88" s="94">
        <f>'Dépenses BP 2017'!C91</f>
        <v>1.6073309538905668E-2</v>
      </c>
      <c r="H88" s="94"/>
      <c r="I88" s="61">
        <f>'Dépenses BP 2017'!E91</f>
        <v>0</v>
      </c>
      <c r="J88" s="94">
        <f>'Dépenses BP 2017'!F91</f>
        <v>0</v>
      </c>
      <c r="K88" s="61">
        <f>'Dépenses BP 2017'!G91</f>
        <v>24.109964308358503</v>
      </c>
      <c r="L88" s="94">
        <f>'Dépenses BP 2017'!H91</f>
        <v>1.6073309538905668E-2</v>
      </c>
      <c r="M88" s="61"/>
      <c r="N88" s="58"/>
      <c r="O88" s="69">
        <f>'Dépenses BP 2017'!BJ91*P88</f>
        <v>48.079561115577484</v>
      </c>
      <c r="P88" s="92">
        <f>$P$6/$BJ$6</f>
        <v>3.2053040743718321E-2</v>
      </c>
      <c r="Q88" s="69">
        <f>'Dépenses BP 2017'!BJ91*R88</f>
        <v>7.6066451699386874</v>
      </c>
      <c r="R88" s="92">
        <f>$R$6/$BJ$6</f>
        <v>5.0710967799591248E-3</v>
      </c>
      <c r="S88" s="69">
        <f>'Dépenses BP 2017'!BJ91*T88</f>
        <v>4.5772717685341773</v>
      </c>
      <c r="T88" s="92">
        <f>$T$6/$BJ$6</f>
        <v>3.0515145123561184E-3</v>
      </c>
      <c r="U88" s="69">
        <f>'Dépenses BP 2017'!K91</f>
        <v>60.263478054050346</v>
      </c>
      <c r="V88" s="92">
        <f>'Dépenses BP 2017'!L91</f>
        <v>4.0175652036033564E-2</v>
      </c>
      <c r="W88" s="69"/>
      <c r="X88" s="54"/>
      <c r="Y88" s="74">
        <f>'Dépenses BP 2017'!BJ91*Z88</f>
        <v>0</v>
      </c>
      <c r="Z88" s="90">
        <f>$Z$6/$BJ$6</f>
        <v>0</v>
      </c>
      <c r="AA88" s="74">
        <f>'Dépenses BP 2017'!BJ91*AB88</f>
        <v>0</v>
      </c>
      <c r="AB88" s="90">
        <f>$AB$6/$BJ$6</f>
        <v>0</v>
      </c>
      <c r="AC88" s="74">
        <f>'Dépenses BP 2017'!BJ91*AD88</f>
        <v>61.84238781035868</v>
      </c>
      <c r="AD88" s="90">
        <f>$AD$6/$BJ$6</f>
        <v>4.1228258540239121E-2</v>
      </c>
      <c r="AE88" s="128"/>
      <c r="AF88" s="128"/>
      <c r="AG88" s="74">
        <f>'Dépenses BP 2017'!BJ91*AH88</f>
        <v>73.378152242830225</v>
      </c>
      <c r="AH88" s="90">
        <f>$AH$6/$BJ$6</f>
        <v>4.8918768161886818E-2</v>
      </c>
      <c r="AI88" s="74">
        <f>'Dépenses BP 2017'!BJ91*AJ88</f>
        <v>6.6707411129845653</v>
      </c>
      <c r="AJ88" s="90">
        <f>$AJ$6/$BJ$6</f>
        <v>4.4471607419897105E-3</v>
      </c>
      <c r="AK88" s="74">
        <f>'Dépenses BP 2017'!BJ91*AL88</f>
        <v>5.5915104972053147E-2</v>
      </c>
      <c r="AL88" s="90">
        <f>$AL$6/$BJ$6</f>
        <v>3.7276736648035431E-5</v>
      </c>
      <c r="AM88" s="74">
        <f>'Dépenses BP 2017'!BJ91*AN88</f>
        <v>10.102416520439787</v>
      </c>
      <c r="AN88" s="90">
        <f>$AN$6/$BJ$6</f>
        <v>6.7349443469598581E-3</v>
      </c>
      <c r="AO88" s="74">
        <f>'Dépenses BP 2017'!BJ91*AP88</f>
        <v>16.676852782461413</v>
      </c>
      <c r="AP88" s="342">
        <f>$AP$6/$BJ$6</f>
        <v>1.1117901854974277E-2</v>
      </c>
      <c r="AQ88" s="74">
        <f>'Dépenses BP 2017'!N91</f>
        <v>168.72646557404673</v>
      </c>
      <c r="AR88" s="90">
        <f>'Dépenses BP 2017'!O91</f>
        <v>0.11248431038269782</v>
      </c>
      <c r="AS88" s="133"/>
      <c r="AT88" s="54">
        <f t="shared" si="5"/>
        <v>0</v>
      </c>
      <c r="AU88" s="74">
        <f>'Dépenses BP 2017'!BJ91*AV88</f>
        <v>61.145623598827981</v>
      </c>
      <c r="AV88" s="342">
        <f>$AV$6/$BJ$6</f>
        <v>4.076374906588532E-2</v>
      </c>
      <c r="AW88" s="74">
        <f>'Dépenses BP 2017'!BJ91*AX88</f>
        <v>1.1590412186668937</v>
      </c>
      <c r="AX88" s="342">
        <f t="shared" si="38"/>
        <v>7.726941457779291E-4</v>
      </c>
      <c r="AY88" s="74">
        <f>'Dépenses BP 2017'!Q91</f>
        <v>62.304664817494881</v>
      </c>
      <c r="AZ88" s="90">
        <f>'Dépenses BP 2017'!R91</f>
        <v>4.1536443211663256E-2</v>
      </c>
      <c r="BA88" s="133"/>
      <c r="BB88" s="211"/>
      <c r="BC88" s="78">
        <f>'Dépenses BP 2017'!Q91</f>
        <v>62.304664817494881</v>
      </c>
      <c r="BD88" s="89">
        <f>'Dépenses BP 2017'!R91</f>
        <v>4.1536443211663256E-2</v>
      </c>
      <c r="BE88" s="78"/>
      <c r="BF88" s="54"/>
      <c r="BG88" s="82">
        <f>'Dépenses BP 2017'!T91</f>
        <v>315.40457275395045</v>
      </c>
      <c r="BH88" s="87">
        <f>'Dépenses BP 2017'!U91</f>
        <v>0.21026971516930029</v>
      </c>
      <c r="BI88" s="82"/>
      <c r="BJ88" s="205">
        <f t="shared" si="6"/>
        <v>0</v>
      </c>
      <c r="BK88" s="205"/>
    </row>
    <row r="89" spans="1:63">
      <c r="A89" s="1584" t="str">
        <f>'Dépenses BP 2017'!A92</f>
        <v>Formations GJ</v>
      </c>
      <c r="B89" s="61"/>
      <c r="C89" s="94"/>
      <c r="D89" s="61"/>
      <c r="E89" s="94"/>
      <c r="F89" s="61"/>
      <c r="G89" s="94"/>
      <c r="H89" s="94"/>
      <c r="I89" s="61"/>
      <c r="J89" s="94"/>
      <c r="K89" s="61"/>
      <c r="L89" s="94"/>
      <c r="M89" s="61"/>
      <c r="N89" s="58"/>
      <c r="O89" s="69"/>
      <c r="P89" s="92"/>
      <c r="Q89" s="69"/>
      <c r="R89" s="92"/>
      <c r="S89" s="92"/>
      <c r="T89" s="92"/>
      <c r="U89" s="69"/>
      <c r="V89" s="92"/>
      <c r="W89" s="69"/>
      <c r="X89" s="54"/>
      <c r="Y89" s="74"/>
      <c r="Z89" s="90"/>
      <c r="AA89" s="74"/>
      <c r="AB89" s="90"/>
      <c r="AC89" s="74"/>
      <c r="AD89" s="90"/>
      <c r="AE89" s="128"/>
      <c r="AF89" s="128"/>
      <c r="AG89" s="74"/>
      <c r="AH89" s="90"/>
      <c r="AI89" s="74"/>
      <c r="AJ89" s="90"/>
      <c r="AK89" s="74"/>
      <c r="AL89" s="90"/>
      <c r="AM89" s="74"/>
      <c r="AN89" s="90"/>
      <c r="AO89" s="90"/>
      <c r="AP89" s="90"/>
      <c r="AQ89" s="74"/>
      <c r="AR89" s="90"/>
      <c r="AS89" s="133"/>
      <c r="AT89" s="54">
        <f t="shared" si="5"/>
        <v>0</v>
      </c>
      <c r="AU89" s="74"/>
      <c r="AV89" s="90"/>
      <c r="AW89" s="90"/>
      <c r="AX89" s="90"/>
      <c r="AY89" s="74"/>
      <c r="AZ89" s="90"/>
      <c r="BA89" s="133"/>
      <c r="BB89" s="211"/>
      <c r="BC89" s="78"/>
      <c r="BD89" s="89"/>
      <c r="BE89" s="78"/>
      <c r="BF89" s="54"/>
      <c r="BG89" s="82"/>
      <c r="BH89" s="87"/>
      <c r="BI89" s="82"/>
      <c r="BJ89" s="205">
        <f t="shared" si="6"/>
        <v>0</v>
      </c>
      <c r="BK89" s="205"/>
    </row>
    <row r="90" spans="1:63">
      <c r="A90" s="67" t="str">
        <f>'Dépenses BP 2017'!A93</f>
        <v>Autres services extérieurs</v>
      </c>
      <c r="B90" s="62">
        <f>SUM(B91:B120)</f>
        <v>2629.4723948540145</v>
      </c>
      <c r="C90" s="93"/>
      <c r="D90" s="62">
        <f>SUM(D91:D120)</f>
        <v>0</v>
      </c>
      <c r="E90" s="93"/>
      <c r="F90" s="62">
        <f>'Dépenses BP 2017'!B93</f>
        <v>2629.4723948540145</v>
      </c>
      <c r="G90" s="93"/>
      <c r="H90" s="93"/>
      <c r="I90" s="62">
        <f>'Dépenses BP 2017'!E93</f>
        <v>0</v>
      </c>
      <c r="J90" s="93"/>
      <c r="K90" s="62">
        <f>'Dépenses BP 2017'!G93</f>
        <v>2629.4723948540145</v>
      </c>
      <c r="L90" s="93"/>
      <c r="M90" s="62" t="str">
        <f>'Dépenses BP 2017'!I93</f>
        <v>/</v>
      </c>
      <c r="N90" s="58"/>
      <c r="O90" s="73">
        <f>SUM(O91:O120)</f>
        <v>2258.8025893346548</v>
      </c>
      <c r="P90" s="93"/>
      <c r="Q90" s="73">
        <f>SUM(Q91:Q120)</f>
        <v>2809.0215674363985</v>
      </c>
      <c r="R90" s="62"/>
      <c r="S90" s="62">
        <f>SUM(S91:S120)</f>
        <v>185.95263284855042</v>
      </c>
      <c r="T90" s="62"/>
      <c r="U90" s="62">
        <f>'Dépenses BP 2017'!K93</f>
        <v>5253.7767896196046</v>
      </c>
      <c r="V90" s="93"/>
      <c r="W90" s="62" t="str">
        <f>'Dépenses BP 2017'!M93</f>
        <v>/</v>
      </c>
      <c r="X90" s="54"/>
      <c r="Y90" s="73">
        <f>SUM(Y91:Y120)</f>
        <v>0</v>
      </c>
      <c r="Z90" s="88"/>
      <c r="AA90" s="73">
        <f>SUM(AA91:AA120)</f>
        <v>0</v>
      </c>
      <c r="AB90" s="88"/>
      <c r="AC90" s="73">
        <f>SUM(AC91:AC120)</f>
        <v>4073.0355585417988</v>
      </c>
      <c r="AD90" s="88"/>
      <c r="AE90" s="125">
        <f>SUM(AE91:AE120)</f>
        <v>0</v>
      </c>
      <c r="AF90" s="129"/>
      <c r="AG90" s="73">
        <f>SUM(AG91:AG120)</f>
        <v>2981.0029408600462</v>
      </c>
      <c r="AH90" s="88"/>
      <c r="AI90" s="73">
        <f>SUM(AI91:AI120)</f>
        <v>1501.2800083285631</v>
      </c>
      <c r="AJ90" s="88"/>
      <c r="AK90" s="73">
        <f>SUM(AK91:AK120)</f>
        <v>2.2715629552592773</v>
      </c>
      <c r="AL90" s="88"/>
      <c r="AM90" s="73">
        <f>SUM(AM91:AM120)</f>
        <v>410.412805947518</v>
      </c>
      <c r="AN90" s="88"/>
      <c r="AO90" s="73">
        <f>SUM(AO91:AO120)</f>
        <v>677.50066837728309</v>
      </c>
      <c r="AP90" s="73"/>
      <c r="AQ90" s="73">
        <f>SUM(AQ91:AQ120)</f>
        <v>9645.5035450104642</v>
      </c>
      <c r="AR90" s="88"/>
      <c r="AS90" s="131" t="str">
        <f>'Dépenses BP 2017'!P93</f>
        <v>/</v>
      </c>
      <c r="AT90" s="54">
        <f t="shared" si="5"/>
        <v>0</v>
      </c>
      <c r="AU90" s="73">
        <f>SUM(AU91:AU120)</f>
        <v>3573.3783943202734</v>
      </c>
      <c r="AV90" s="88"/>
      <c r="AW90" s="73">
        <f>SUM(AW91:AW120)</f>
        <v>47.086294432572316</v>
      </c>
      <c r="AX90" s="88"/>
      <c r="AY90" s="73">
        <f>'Dépenses BP 2017'!Q93</f>
        <v>3620.4646887528447</v>
      </c>
      <c r="AZ90" s="88"/>
      <c r="BA90" s="131" t="str">
        <f>'Dépenses BP 2017'!S93</f>
        <v>/</v>
      </c>
      <c r="BB90" s="211"/>
      <c r="BC90" s="73">
        <f>'Dépenses BP 2017'!Q93</f>
        <v>3620.4646887528447</v>
      </c>
      <c r="BD90" s="88"/>
      <c r="BE90" s="73" t="str">
        <f>'Dépenses BP 2017'!S93</f>
        <v>/</v>
      </c>
      <c r="BF90" s="53"/>
      <c r="BG90" s="73">
        <f>'Dépenses BP 2017'!T93</f>
        <v>21149.217418236934</v>
      </c>
      <c r="BH90" s="88"/>
      <c r="BI90" s="83"/>
      <c r="BJ90" s="205">
        <f t="shared" si="6"/>
        <v>0</v>
      </c>
      <c r="BK90" s="205"/>
    </row>
    <row r="91" spans="1:63">
      <c r="A91" s="1584" t="str">
        <f>'Dépenses BP 2017'!A94</f>
        <v>Personnel mis à dispo</v>
      </c>
      <c r="B91" s="61">
        <f>'Dépenses BP 2017'!BJ94*C91</f>
        <v>11.090583581844911</v>
      </c>
      <c r="C91" s="455">
        <f>$C$6/$BJ$6</f>
        <v>1.6073309538905668E-2</v>
      </c>
      <c r="D91" s="61">
        <f>'Dépenses BP 2017'!BJ94*E91</f>
        <v>0</v>
      </c>
      <c r="E91" s="94">
        <f>$E$6/$BJ$6</f>
        <v>0</v>
      </c>
      <c r="F91" s="61">
        <f>'Dépenses BP 2017'!B94</f>
        <v>11.090583581844911</v>
      </c>
      <c r="G91" s="94">
        <f>'Dépenses BP 2017'!C94</f>
        <v>1.6073309538905668E-2</v>
      </c>
      <c r="H91" s="94"/>
      <c r="I91" s="61">
        <f>'Dépenses BP 2017'!E94</f>
        <v>0</v>
      </c>
      <c r="J91" s="94">
        <f>'Dépenses BP 2017'!F94</f>
        <v>0</v>
      </c>
      <c r="K91" s="61">
        <f>'Dépenses BP 2017'!G94</f>
        <v>11.090583581844911</v>
      </c>
      <c r="L91" s="94">
        <f>'Dépenses BP 2017'!H94</f>
        <v>1.6073309538905668E-2</v>
      </c>
      <c r="M91" s="61"/>
      <c r="N91" s="58"/>
      <c r="O91" s="69">
        <f>'Dépenses BP 2017'!BJ94*P91</f>
        <v>22.11659811316564</v>
      </c>
      <c r="P91" s="92">
        <f>$P$6/$BJ$6</f>
        <v>3.2053040743718321E-2</v>
      </c>
      <c r="Q91" s="69">
        <f>'Dépenses BP 2017'!BJ94*R91</f>
        <v>3.4990567781717963</v>
      </c>
      <c r="R91" s="92">
        <f>$R$6/$BJ$6</f>
        <v>5.0710967799591248E-3</v>
      </c>
      <c r="S91" s="69">
        <f>'Dépenses BP 2017'!BJ94*T91</f>
        <v>2.1055450135257217</v>
      </c>
      <c r="T91" s="92">
        <f>$T$6/$BJ$6</f>
        <v>3.0515145123561184E-3</v>
      </c>
      <c r="U91" s="69">
        <f>'Dépenses BP 2017'!K94</f>
        <v>27.721199904863159</v>
      </c>
      <c r="V91" s="92">
        <f>'Dépenses BP 2017'!L94</f>
        <v>4.0175652036033564E-2</v>
      </c>
      <c r="W91" s="69"/>
      <c r="X91" s="54"/>
      <c r="Y91" s="74">
        <f>'Dépenses BP 2017'!BJ94*Z91</f>
        <v>0</v>
      </c>
      <c r="Z91" s="90">
        <f>$Z$6/$BJ$6</f>
        <v>0</v>
      </c>
      <c r="AA91" s="74">
        <f>'Dépenses BP 2017'!BJ94*AB91</f>
        <v>0</v>
      </c>
      <c r="AB91" s="90">
        <f>$AB$6/$BJ$6</f>
        <v>0</v>
      </c>
      <c r="AC91" s="74">
        <f>'Dépenses BP 2017'!BJ94*AD91</f>
        <v>28.447498392764995</v>
      </c>
      <c r="AD91" s="90">
        <f>$AD$6/$BJ$6</f>
        <v>4.1228258540239121E-2</v>
      </c>
      <c r="AE91" s="128"/>
      <c r="AF91" s="128"/>
      <c r="AG91" s="74">
        <f>'Dépenses BP 2017'!BJ94*AH91</f>
        <v>33.753950031701905</v>
      </c>
      <c r="AH91" s="90">
        <f>$AH$6/$BJ$6</f>
        <v>4.8918768161886818E-2</v>
      </c>
      <c r="AI91" s="74">
        <f>'Dépenses BP 2017'!BJ94*AJ91</f>
        <v>3.0685409119729004</v>
      </c>
      <c r="AJ91" s="90">
        <f>$AJ$6/$BJ$6</f>
        <v>4.4471607419897105E-3</v>
      </c>
      <c r="AK91" s="74">
        <f>'Dépenses BP 2017'!BJ94*AL91</f>
        <v>2.5720948287144448E-2</v>
      </c>
      <c r="AL91" s="90">
        <f>$AL$6/$BJ$6</f>
        <v>3.7276736648035431E-5</v>
      </c>
      <c r="AM91" s="74">
        <f>'Dépenses BP 2017'!BJ94*AN91</f>
        <v>4.6471115994023018</v>
      </c>
      <c r="AN91" s="90">
        <f>$AN$6/$BJ$6</f>
        <v>6.7349443469598581E-3</v>
      </c>
      <c r="AO91" s="74">
        <f>'Dépenses BP 2017'!BJ94*AP91</f>
        <v>7.6713522799322504</v>
      </c>
      <c r="AP91" s="342">
        <f>$AP$6/$BJ$6</f>
        <v>1.1117901854974277E-2</v>
      </c>
      <c r="AQ91" s="74">
        <f>'Dépenses BP 2017'!N94</f>
        <v>77.614174164061495</v>
      </c>
      <c r="AR91" s="90">
        <f>'Dépenses BP 2017'!O94</f>
        <v>0.11248431038269782</v>
      </c>
      <c r="AS91" s="133"/>
      <c r="AT91" s="54">
        <f t="shared" si="5"/>
        <v>0</v>
      </c>
      <c r="AU91" s="74">
        <f>'Dépenses BP 2017'!BJ94*AV91</f>
        <v>28.126986855460871</v>
      </c>
      <c r="AV91" s="342">
        <f>$AV$6/$BJ$6</f>
        <v>4.076374906588532E-2</v>
      </c>
      <c r="AW91" s="74">
        <f>'Dépenses BP 2017'!BJ94*AX91</f>
        <v>0.53315896058677104</v>
      </c>
      <c r="AX91" s="342">
        <f t="shared" ref="AX91" si="39">$AX$6/$BJ$6</f>
        <v>7.726941457779291E-4</v>
      </c>
      <c r="AY91" s="74">
        <f>'Dépenses BP 2017'!Q94</f>
        <v>28.660145816047645</v>
      </c>
      <c r="AZ91" s="90">
        <f>'Dépenses BP 2017'!R94</f>
        <v>4.1536443211663256E-2</v>
      </c>
      <c r="BA91" s="133"/>
      <c r="BB91" s="211"/>
      <c r="BC91" s="78">
        <f>'Dépenses BP 2017'!Q94</f>
        <v>28.660145816047645</v>
      </c>
      <c r="BD91" s="89">
        <f>'Dépenses BP 2017'!R94</f>
        <v>4.1536443211663256E-2</v>
      </c>
      <c r="BE91" s="78"/>
      <c r="BF91" s="54"/>
      <c r="BG91" s="82">
        <f>'Dépenses BP 2017'!T94</f>
        <v>145.08610346681721</v>
      </c>
      <c r="BH91" s="87">
        <f>'Dépenses BP 2017'!U94</f>
        <v>0.21026971516930029</v>
      </c>
      <c r="BI91" s="82"/>
      <c r="BJ91" s="205">
        <f t="shared" si="6"/>
        <v>0</v>
      </c>
      <c r="BK91" s="205"/>
    </row>
    <row r="92" spans="1:63">
      <c r="A92" s="1584" t="str">
        <f>'Dépenses BP 2017'!A95</f>
        <v>Consultant ML</v>
      </c>
      <c r="B92" s="61"/>
      <c r="C92" s="455"/>
      <c r="D92" s="61"/>
      <c r="E92" s="94"/>
      <c r="F92" s="61"/>
      <c r="G92" s="94"/>
      <c r="H92" s="94"/>
      <c r="I92" s="61"/>
      <c r="J92" s="94"/>
      <c r="K92" s="61"/>
      <c r="L92" s="94"/>
      <c r="M92" s="61"/>
      <c r="N92" s="58"/>
      <c r="O92" s="69"/>
      <c r="P92" s="92"/>
      <c r="Q92" s="69"/>
      <c r="R92" s="92"/>
      <c r="S92" s="69"/>
      <c r="T92" s="92"/>
      <c r="U92" s="69"/>
      <c r="V92" s="92"/>
      <c r="W92" s="69"/>
      <c r="X92" s="54"/>
      <c r="Y92" s="74"/>
      <c r="Z92" s="90"/>
      <c r="AA92" s="74"/>
      <c r="AB92" s="90"/>
      <c r="AC92" s="74"/>
      <c r="AD92" s="90"/>
      <c r="AE92" s="128"/>
      <c r="AF92" s="128"/>
      <c r="AG92" s="74"/>
      <c r="AH92" s="90"/>
      <c r="AI92" s="74"/>
      <c r="AJ92" s="90"/>
      <c r="AK92" s="74"/>
      <c r="AL92" s="90"/>
      <c r="AM92" s="74"/>
      <c r="AN92" s="90"/>
      <c r="AO92" s="74"/>
      <c r="AP92" s="342"/>
      <c r="AQ92" s="74"/>
      <c r="AR92" s="90"/>
      <c r="AS92" s="133"/>
      <c r="AT92" s="54">
        <f t="shared" si="5"/>
        <v>0</v>
      </c>
      <c r="AU92" s="74"/>
      <c r="AV92" s="342"/>
      <c r="AW92" s="74"/>
      <c r="AX92" s="342"/>
      <c r="AY92" s="74"/>
      <c r="AZ92" s="90"/>
      <c r="BA92" s="133"/>
      <c r="BB92" s="211"/>
      <c r="BC92" s="78"/>
      <c r="BD92" s="89"/>
      <c r="BE92" s="78"/>
      <c r="BF92" s="54"/>
      <c r="BG92" s="82"/>
      <c r="BH92" s="87"/>
      <c r="BI92" s="82"/>
      <c r="BJ92" s="205">
        <f t="shared" si="6"/>
        <v>0</v>
      </c>
      <c r="BK92" s="205"/>
    </row>
    <row r="93" spans="1:63">
      <c r="A93" s="1584" t="str">
        <f>'Dépenses BP 2017'!A96</f>
        <v>Consultant MDE</v>
      </c>
      <c r="B93" s="61"/>
      <c r="C93" s="455"/>
      <c r="D93" s="61"/>
      <c r="E93" s="94"/>
      <c r="F93" s="61"/>
      <c r="G93" s="94"/>
      <c r="H93" s="94"/>
      <c r="I93" s="61"/>
      <c r="J93" s="94"/>
      <c r="K93" s="61"/>
      <c r="L93" s="94"/>
      <c r="M93" s="61"/>
      <c r="N93" s="58"/>
      <c r="O93" s="69"/>
      <c r="P93" s="92"/>
      <c r="Q93" s="69"/>
      <c r="R93" s="92"/>
      <c r="S93" s="69"/>
      <c r="T93" s="92"/>
      <c r="U93" s="69"/>
      <c r="V93" s="92"/>
      <c r="W93" s="69"/>
      <c r="X93" s="54"/>
      <c r="Y93" s="74"/>
      <c r="Z93" s="90"/>
      <c r="AA93" s="74"/>
      <c r="AB93" s="90"/>
      <c r="AC93" s="74">
        <f>AQ93*AD93</f>
        <v>1410.6754854452499</v>
      </c>
      <c r="AD93" s="90">
        <v>1</v>
      </c>
      <c r="AE93" s="128"/>
      <c r="AF93" s="128"/>
      <c r="AG93" s="74"/>
      <c r="AH93" s="90"/>
      <c r="AI93" s="74"/>
      <c r="AJ93" s="90"/>
      <c r="AK93" s="74"/>
      <c r="AL93" s="90"/>
      <c r="AM93" s="74"/>
      <c r="AN93" s="90"/>
      <c r="AO93" s="90"/>
      <c r="AP93" s="90"/>
      <c r="AQ93" s="74">
        <f>'Dépenses BP 2017'!N96</f>
        <v>1410.6754854452499</v>
      </c>
      <c r="AR93" s="90">
        <f>'Dépenses BP 2017'!O96</f>
        <v>1</v>
      </c>
      <c r="AS93" s="133"/>
      <c r="AT93" s="54">
        <f t="shared" si="5"/>
        <v>0</v>
      </c>
      <c r="AU93" s="74">
        <f>AY93*AV93</f>
        <v>1089.3245145547501</v>
      </c>
      <c r="AV93" s="342">
        <v>1</v>
      </c>
      <c r="AW93" s="74"/>
      <c r="AX93" s="90"/>
      <c r="AY93" s="74">
        <f>'Dépenses BP 2017'!Q96</f>
        <v>1089.3245145547501</v>
      </c>
      <c r="AZ93" s="90">
        <f>'Dépenses BP 2017'!R96</f>
        <v>1</v>
      </c>
      <c r="BA93" s="133"/>
      <c r="BB93" s="211"/>
      <c r="BC93" s="78"/>
      <c r="BD93" s="89"/>
      <c r="BE93" s="78"/>
      <c r="BF93" s="54"/>
      <c r="BG93" s="82">
        <f>'Dépenses BP 2017'!T96</f>
        <v>2500</v>
      </c>
      <c r="BH93" s="87">
        <f>'Dépenses BP 2017'!U96</f>
        <v>1</v>
      </c>
      <c r="BI93" s="82"/>
      <c r="BJ93" s="205">
        <f t="shared" si="6"/>
        <v>0</v>
      </c>
      <c r="BK93" s="205"/>
    </row>
    <row r="94" spans="1:63">
      <c r="A94" s="1584" t="str">
        <f>'Dépenses BP 2017'!A97</f>
        <v>Consultant MDE - GPEC-T/revitalisation/contrat ville</v>
      </c>
      <c r="B94" s="61"/>
      <c r="C94" s="455"/>
      <c r="D94" s="61"/>
      <c r="E94" s="94"/>
      <c r="F94" s="61"/>
      <c r="G94" s="94"/>
      <c r="H94" s="94"/>
      <c r="I94" s="61"/>
      <c r="J94" s="94"/>
      <c r="K94" s="61"/>
      <c r="L94" s="94"/>
      <c r="M94" s="61"/>
      <c r="N94" s="58"/>
      <c r="O94" s="69">
        <f>U94-Q94</f>
        <v>155.56025902235024</v>
      </c>
      <c r="P94" s="92">
        <v>1</v>
      </c>
      <c r="Q94" s="69">
        <v>2500</v>
      </c>
      <c r="R94" s="92">
        <v>1</v>
      </c>
      <c r="S94" s="69"/>
      <c r="T94" s="92"/>
      <c r="U94" s="69">
        <f>'Dépenses BP 2017'!K97</f>
        <v>2655.5602590223502</v>
      </c>
      <c r="V94" s="92">
        <f>'Dépenses BP 2017'!L97</f>
        <v>1</v>
      </c>
      <c r="W94" s="69"/>
      <c r="X94" s="54"/>
      <c r="Y94" s="74"/>
      <c r="Z94" s="90"/>
      <c r="AA94" s="74"/>
      <c r="AB94" s="90"/>
      <c r="AC94" s="74"/>
      <c r="AD94" s="90"/>
      <c r="AE94" s="128"/>
      <c r="AF94" s="128"/>
      <c r="AG94" s="74"/>
      <c r="AH94" s="90"/>
      <c r="AI94" s="74">
        <v>1230.2797409776499</v>
      </c>
      <c r="AJ94" s="90">
        <v>1</v>
      </c>
      <c r="AK94" s="74"/>
      <c r="AL94" s="90"/>
      <c r="AM94" s="74"/>
      <c r="AN94" s="90"/>
      <c r="AO94" s="90"/>
      <c r="AP94" s="90"/>
      <c r="AQ94" s="74">
        <f>'Dépenses BP 2017'!N97</f>
        <v>1230.2797409776499</v>
      </c>
      <c r="AR94" s="90">
        <f>'Dépenses BP 2017'!O97</f>
        <v>1</v>
      </c>
      <c r="AS94" s="133"/>
      <c r="AT94" s="54">
        <f t="shared" si="5"/>
        <v>0</v>
      </c>
      <c r="AU94" s="74"/>
      <c r="AV94" s="90"/>
      <c r="AW94" s="74"/>
      <c r="AX94" s="90"/>
      <c r="AY94" s="74"/>
      <c r="AZ94" s="90"/>
      <c r="BA94" s="133"/>
      <c r="BB94" s="211"/>
      <c r="BC94" s="78"/>
      <c r="BD94" s="89"/>
      <c r="BE94" s="78"/>
      <c r="BF94" s="54"/>
      <c r="BG94" s="82">
        <f>'Dépenses BP 2017'!T97</f>
        <v>3885.84</v>
      </c>
      <c r="BH94" s="87">
        <f>'Dépenses BP 2017'!U97</f>
        <v>1</v>
      </c>
      <c r="BI94" s="82"/>
      <c r="BJ94" s="205">
        <f t="shared" si="6"/>
        <v>0</v>
      </c>
      <c r="BK94" s="205"/>
    </row>
    <row r="95" spans="1:63">
      <c r="A95" s="1584" t="str">
        <f>'Dépenses BP 2017'!A98</f>
        <v>Consultant gpe DRH</v>
      </c>
      <c r="B95" s="61">
        <f t="shared" ref="B95" si="40">F95</f>
        <v>1500</v>
      </c>
      <c r="C95" s="94">
        <v>1</v>
      </c>
      <c r="D95" s="61"/>
      <c r="E95" s="94"/>
      <c r="F95" s="61">
        <f>'Dépenses BP 2017'!B98</f>
        <v>1500</v>
      </c>
      <c r="G95" s="94">
        <f>'Dépenses BP 2017'!C98</f>
        <v>1</v>
      </c>
      <c r="H95" s="94"/>
      <c r="I95" s="61"/>
      <c r="J95" s="94"/>
      <c r="K95" s="61"/>
      <c r="L95" s="94"/>
      <c r="M95" s="61"/>
      <c r="N95" s="58"/>
      <c r="O95" s="69"/>
      <c r="P95" s="92"/>
      <c r="Q95" s="69"/>
      <c r="R95" s="92"/>
      <c r="S95" s="92"/>
      <c r="T95" s="92"/>
      <c r="U95" s="69"/>
      <c r="V95" s="92"/>
      <c r="W95" s="69"/>
      <c r="X95" s="54"/>
      <c r="Y95" s="74"/>
      <c r="Z95" s="90"/>
      <c r="AA95" s="74"/>
      <c r="AB95" s="90"/>
      <c r="AC95" s="74"/>
      <c r="AD95" s="90"/>
      <c r="AE95" s="128"/>
      <c r="AF95" s="128"/>
      <c r="AG95" s="74"/>
      <c r="AH95" s="90"/>
      <c r="AI95" s="74"/>
      <c r="AJ95" s="90"/>
      <c r="AK95" s="74"/>
      <c r="AL95" s="90"/>
      <c r="AM95" s="74"/>
      <c r="AN95" s="90"/>
      <c r="AO95" s="90"/>
      <c r="AP95" s="90"/>
      <c r="AQ95" s="74">
        <f>'Dépenses BP 2017'!N98</f>
        <v>0</v>
      </c>
      <c r="AR95" s="90">
        <f>'Dépenses BP 2017'!O98</f>
        <v>0</v>
      </c>
      <c r="AS95" s="133"/>
      <c r="AT95" s="54">
        <f t="shared" si="5"/>
        <v>0</v>
      </c>
      <c r="AU95" s="74"/>
      <c r="AV95" s="90"/>
      <c r="AW95" s="74"/>
      <c r="AX95" s="90"/>
      <c r="AY95" s="74">
        <f>'Dépenses BP 2017'!Q98</f>
        <v>0</v>
      </c>
      <c r="AZ95" s="90">
        <f>'Dépenses BP 2017'!R98</f>
        <v>0</v>
      </c>
      <c r="BA95" s="133"/>
      <c r="BB95" s="211"/>
      <c r="BC95" s="78"/>
      <c r="BD95" s="89"/>
      <c r="BE95" s="78"/>
      <c r="BF95" s="54"/>
      <c r="BG95" s="82">
        <f>'Dépenses BP 2017'!T98</f>
        <v>1500</v>
      </c>
      <c r="BH95" s="87">
        <f>'Dépenses BP 2017'!U98</f>
        <v>1</v>
      </c>
      <c r="BI95" s="82"/>
      <c r="BJ95" s="205">
        <f t="shared" si="6"/>
        <v>0</v>
      </c>
      <c r="BK95" s="205"/>
    </row>
    <row r="96" spans="1:63">
      <c r="A96" s="1584" t="str">
        <f>'Dépenses BP 2017'!A99</f>
        <v>Personnel spécifique</v>
      </c>
      <c r="B96" s="61"/>
      <c r="C96" s="94"/>
      <c r="D96" s="61"/>
      <c r="E96" s="94"/>
      <c r="F96" s="61"/>
      <c r="G96" s="94"/>
      <c r="H96" s="94"/>
      <c r="I96" s="61"/>
      <c r="J96" s="94"/>
      <c r="K96" s="61"/>
      <c r="L96" s="94"/>
      <c r="M96" s="61"/>
      <c r="N96" s="58"/>
      <c r="O96" s="69"/>
      <c r="P96" s="92"/>
      <c r="Q96" s="69"/>
      <c r="R96" s="92"/>
      <c r="S96" s="92"/>
      <c r="T96" s="92"/>
      <c r="U96" s="69"/>
      <c r="V96" s="92"/>
      <c r="W96" s="69"/>
      <c r="X96" s="54"/>
      <c r="Y96" s="74"/>
      <c r="Z96" s="90"/>
      <c r="AA96" s="74"/>
      <c r="AB96" s="90"/>
      <c r="AC96" s="74"/>
      <c r="AD96" s="90"/>
      <c r="AE96" s="128"/>
      <c r="AF96" s="128"/>
      <c r="AG96" s="74"/>
      <c r="AH96" s="90"/>
      <c r="AI96" s="74"/>
      <c r="AJ96" s="90"/>
      <c r="AK96" s="74"/>
      <c r="AL96" s="90"/>
      <c r="AM96" s="74"/>
      <c r="AN96" s="90"/>
      <c r="AO96" s="90"/>
      <c r="AP96" s="90"/>
      <c r="AQ96" s="74"/>
      <c r="AR96" s="90"/>
      <c r="AS96" s="133"/>
      <c r="AT96" s="54">
        <f t="shared" si="5"/>
        <v>0</v>
      </c>
      <c r="AU96" s="74"/>
      <c r="AV96" s="90"/>
      <c r="AW96" s="74"/>
      <c r="AX96" s="90"/>
      <c r="AY96" s="74"/>
      <c r="AZ96" s="90"/>
      <c r="BA96" s="133"/>
      <c r="BB96" s="211"/>
      <c r="BC96" s="78"/>
      <c r="BD96" s="89"/>
      <c r="BE96" s="78"/>
      <c r="BF96" s="54"/>
      <c r="BG96" s="82">
        <f>'Dépenses BP 2017'!T99</f>
        <v>0</v>
      </c>
      <c r="BH96" s="87">
        <f>'Dépenses BP 2017'!U99</f>
        <v>0</v>
      </c>
      <c r="BI96" s="82"/>
      <c r="BJ96" s="205">
        <f t="shared" si="6"/>
        <v>0</v>
      </c>
      <c r="BK96" s="205"/>
    </row>
    <row r="97" spans="1:63">
      <c r="A97" s="1584" t="str">
        <f>'Dépenses BP 2017'!A100</f>
        <v>Consultant GPEC T</v>
      </c>
      <c r="B97" s="61">
        <f>F97</f>
        <v>0</v>
      </c>
      <c r="C97" s="94">
        <v>1</v>
      </c>
      <c r="D97" s="61">
        <f>'Dépenses BP 2017'!BJ100*E97</f>
        <v>0</v>
      </c>
      <c r="E97" s="94">
        <f t="shared" ref="E97:E103" si="41">$E$6/$BJ$6</f>
        <v>0</v>
      </c>
      <c r="F97" s="61">
        <f>'Dépenses BP 2017'!B100</f>
        <v>0</v>
      </c>
      <c r="G97" s="94">
        <f>'Dépenses BP 2017'!C100</f>
        <v>0</v>
      </c>
      <c r="H97" s="94"/>
      <c r="I97" s="61"/>
      <c r="J97" s="94"/>
      <c r="K97" s="61"/>
      <c r="L97" s="94"/>
      <c r="M97" s="61"/>
      <c r="N97" s="58"/>
      <c r="O97" s="69">
        <f>U97</f>
        <v>0</v>
      </c>
      <c r="P97" s="92">
        <v>1</v>
      </c>
      <c r="Q97" s="69"/>
      <c r="R97" s="92"/>
      <c r="S97" s="92"/>
      <c r="T97" s="92"/>
      <c r="U97" s="69">
        <f>'Dépenses BP 2017'!K100</f>
        <v>0</v>
      </c>
      <c r="V97" s="92">
        <f>'Dépenses BP 2017'!L100</f>
        <v>0</v>
      </c>
      <c r="W97" s="69"/>
      <c r="X97" s="54"/>
      <c r="Y97" s="74"/>
      <c r="Z97" s="90"/>
      <c r="AA97" s="74"/>
      <c r="AB97" s="90"/>
      <c r="AC97" s="74"/>
      <c r="AD97" s="90"/>
      <c r="AE97" s="128"/>
      <c r="AF97" s="128"/>
      <c r="AG97" s="74"/>
      <c r="AH97" s="90"/>
      <c r="AI97" s="74"/>
      <c r="AJ97" s="90"/>
      <c r="AK97" s="74"/>
      <c r="AL97" s="90"/>
      <c r="AM97" s="74"/>
      <c r="AN97" s="90"/>
      <c r="AO97" s="90"/>
      <c r="AP97" s="90"/>
      <c r="AQ97" s="74"/>
      <c r="AR97" s="90"/>
      <c r="AS97" s="133"/>
      <c r="AT97" s="54">
        <f t="shared" si="5"/>
        <v>0</v>
      </c>
      <c r="AU97" s="74"/>
      <c r="AV97" s="90"/>
      <c r="AW97" s="74"/>
      <c r="AX97" s="90"/>
      <c r="AY97" s="74"/>
      <c r="AZ97" s="90"/>
      <c r="BA97" s="133"/>
      <c r="BB97" s="211"/>
      <c r="BC97" s="78"/>
      <c r="BD97" s="89"/>
      <c r="BE97" s="78"/>
      <c r="BF97" s="54"/>
      <c r="BG97" s="82">
        <f>'Dépenses BP 2017'!T100</f>
        <v>0</v>
      </c>
      <c r="BH97" s="87">
        <f>'Dépenses BP 2017'!U100</f>
        <v>0</v>
      </c>
      <c r="BI97" s="82"/>
      <c r="BJ97" s="205">
        <f t="shared" si="6"/>
        <v>0</v>
      </c>
      <c r="BK97" s="205"/>
    </row>
    <row r="98" spans="1:63">
      <c r="A98" s="1584" t="str">
        <f>'Dépenses BP 2017'!A101</f>
        <v>Consultant DLA MEF</v>
      </c>
      <c r="B98" s="61">
        <f>'Dépenses BP 2017'!BJ101*C98</f>
        <v>28.931957170030202</v>
      </c>
      <c r="C98" s="94">
        <f t="shared" ref="C98:C103" si="42">$C$6/$BJ$6</f>
        <v>1.6073309538905668E-2</v>
      </c>
      <c r="D98" s="61">
        <f>'Dépenses BP 2017'!BJ102*E98</f>
        <v>0</v>
      </c>
      <c r="E98" s="94">
        <f t="shared" si="41"/>
        <v>0</v>
      </c>
      <c r="F98" s="61">
        <f>'Dépenses BP 2017'!B102</f>
        <v>32.146619077811337</v>
      </c>
      <c r="G98" s="94">
        <f>'Dépenses BP 2017'!C102</f>
        <v>1.6073309538905668E-2</v>
      </c>
      <c r="H98" s="94"/>
      <c r="I98" s="61"/>
      <c r="J98" s="94"/>
      <c r="K98" s="61">
        <f>'Dépenses BP 2017'!G101</f>
        <v>28.931957170030202</v>
      </c>
      <c r="L98" s="94">
        <f>'Dépenses BP 2017'!H101</f>
        <v>1.6073309538905668E-2</v>
      </c>
      <c r="M98" s="61"/>
      <c r="N98" s="58"/>
      <c r="O98" s="69">
        <f>'Dépenses BP 2017'!BJ101*P98</f>
        <v>57.695473338692977</v>
      </c>
      <c r="P98" s="92">
        <f t="shared" ref="P98:P103" si="43">$P$6/$BJ$6</f>
        <v>3.2053040743718321E-2</v>
      </c>
      <c r="Q98" s="69">
        <f>'Dépenses BP 2017'!BJ101*R98</f>
        <v>9.1279742039264242</v>
      </c>
      <c r="R98" s="92">
        <f t="shared" ref="R98:R103" si="44">$R$6/$BJ$6</f>
        <v>5.0710967799591248E-3</v>
      </c>
      <c r="S98" s="69">
        <f>'Dépenses BP 2017'!BJ101*T98</f>
        <v>5.4927261222410131</v>
      </c>
      <c r="T98" s="92">
        <f t="shared" ref="T98:T103" si="45">$T$6/$BJ$6</f>
        <v>3.0515145123561184E-3</v>
      </c>
      <c r="U98" s="69">
        <f>'Dépenses BP 2017'!K101</f>
        <v>72.316173664860415</v>
      </c>
      <c r="V98" s="92">
        <f>'Dépenses BP 2017'!L101</f>
        <v>4.0175652036033564E-2</v>
      </c>
      <c r="W98" s="69"/>
      <c r="X98" s="54"/>
      <c r="Y98" s="74"/>
      <c r="Z98" s="90"/>
      <c r="AA98" s="74"/>
      <c r="AB98" s="90"/>
      <c r="AC98" s="74">
        <f>'Dépenses BP 2017'!BJ101*AD98</f>
        <v>74.210865372430419</v>
      </c>
      <c r="AD98" s="90">
        <f t="shared" ref="AD98:AD99" si="46">$AD$6/$BJ$6</f>
        <v>4.1228258540239121E-2</v>
      </c>
      <c r="AE98" s="128"/>
      <c r="AF98" s="128"/>
      <c r="AG98" s="74">
        <f>'Dépenses BP 2017'!BJ101*AH98</f>
        <v>88.053782691396279</v>
      </c>
      <c r="AH98" s="90">
        <f t="shared" ref="AH98:AH99" si="47">$AH$6/$BJ$6</f>
        <v>4.8918768161886818E-2</v>
      </c>
      <c r="AI98" s="74">
        <f>'Dépenses BP 2017'!BJ101*AJ98</f>
        <v>8.0048893355814794</v>
      </c>
      <c r="AJ98" s="90">
        <f t="shared" ref="AJ98:AJ99" si="48">$AJ$6/$BJ$6</f>
        <v>4.4471607419897105E-3</v>
      </c>
      <c r="AK98" s="74">
        <f>'Dépenses BP 2017'!BJ101*AL98</f>
        <v>6.7098125966463779E-2</v>
      </c>
      <c r="AL98" s="90">
        <f t="shared" ref="AL98:AL99" si="49">$AL$6/$BJ$6</f>
        <v>3.7276736648035431E-5</v>
      </c>
      <c r="AM98" s="74">
        <f>'Dépenses BP 2017'!BJ101*AN98</f>
        <v>12.122899824527744</v>
      </c>
      <c r="AN98" s="90">
        <f t="shared" ref="AN98:AN99" si="50">$AN$6/$BJ$6</f>
        <v>6.7349443469598581E-3</v>
      </c>
      <c r="AO98" s="74">
        <f>'Dépenses BP 2017'!BJ101*AP98</f>
        <v>20.012223338953699</v>
      </c>
      <c r="AP98" s="342">
        <f t="shared" ref="AP98:AP99" si="51">$AP$6/$BJ$6</f>
        <v>1.1117901854974277E-2</v>
      </c>
      <c r="AQ98" s="74">
        <f>'Dépenses BP 2017'!N101</f>
        <v>202.47175868885608</v>
      </c>
      <c r="AR98" s="90">
        <f>'Dépenses BP 2017'!O101</f>
        <v>0.11248431038269782</v>
      </c>
      <c r="AS98" s="133"/>
      <c r="AT98" s="54">
        <f t="shared" si="5"/>
        <v>0</v>
      </c>
      <c r="AU98" s="74">
        <f>'Dépenses BP 2017'!BJ101*AV98</f>
        <v>73.374748318593575</v>
      </c>
      <c r="AV98" s="342">
        <f t="shared" ref="AV98:AV99" si="52">$AV$6/$BJ$6</f>
        <v>4.076374906588532E-2</v>
      </c>
      <c r="AW98" s="74">
        <f>'Dépenses BP 2017'!BJ101*AX98</f>
        <v>1.3908494624002723</v>
      </c>
      <c r="AX98" s="342">
        <f t="shared" ref="AX98:AX103" si="53">$AX$6/$BJ$6</f>
        <v>7.726941457779291E-4</v>
      </c>
      <c r="AY98" s="74">
        <f>'Dépenses BP 2017'!Q101</f>
        <v>74.765597780993858</v>
      </c>
      <c r="AZ98" s="90">
        <f>'Dépenses BP 2017'!R101</f>
        <v>4.1536443211663256E-2</v>
      </c>
      <c r="BA98" s="133"/>
      <c r="BB98" s="211"/>
      <c r="BC98" s="78"/>
      <c r="BD98" s="89"/>
      <c r="BE98" s="78"/>
      <c r="BF98" s="54"/>
      <c r="BG98" s="82">
        <f>'Dépenses BP 2017'!T101</f>
        <v>378.48548730474056</v>
      </c>
      <c r="BH98" s="87">
        <f>'Dépenses BP 2017'!U101</f>
        <v>0.21026971516930029</v>
      </c>
      <c r="BI98" s="82"/>
      <c r="BJ98" s="205">
        <f t="shared" si="6"/>
        <v>0</v>
      </c>
      <c r="BK98" s="205"/>
    </row>
    <row r="99" spans="1:63">
      <c r="A99" s="1584" t="str">
        <f>'Dépenses BP 2017'!A102</f>
        <v>Avocat - Droit social</v>
      </c>
      <c r="B99" s="61">
        <f>'Dépenses BP 2017'!BJ102*C99</f>
        <v>32.146619077811337</v>
      </c>
      <c r="C99" s="94">
        <f t="shared" si="42"/>
        <v>1.6073309538905668E-2</v>
      </c>
      <c r="D99" s="61">
        <f>'Dépenses BP 2017'!BJ103*E99</f>
        <v>0</v>
      </c>
      <c r="E99" s="94">
        <f t="shared" si="41"/>
        <v>0</v>
      </c>
      <c r="F99" s="61">
        <f>'Dépenses BP 2017'!B103</f>
        <v>188.05772160519632</v>
      </c>
      <c r="G99" s="94">
        <f>'Dépenses BP 2017'!C103</f>
        <v>1.6073309538905668E-2</v>
      </c>
      <c r="H99" s="94"/>
      <c r="I99" s="61"/>
      <c r="J99" s="94"/>
      <c r="K99" s="61"/>
      <c r="L99" s="94"/>
      <c r="M99" s="61"/>
      <c r="N99" s="58"/>
      <c r="O99" s="69">
        <f>'Dépenses BP 2017'!BJ102*P99</f>
        <v>64.10608148743664</v>
      </c>
      <c r="P99" s="92">
        <f t="shared" si="43"/>
        <v>3.2053040743718321E-2</v>
      </c>
      <c r="Q99" s="69">
        <f>'Dépenses BP 2017'!BJ102*R99</f>
        <v>10.142193559918249</v>
      </c>
      <c r="R99" s="92">
        <f t="shared" si="44"/>
        <v>5.0710967799591248E-3</v>
      </c>
      <c r="S99" s="69">
        <f>'Dépenses BP 2017'!BJ102*T99</f>
        <v>6.103029024712237</v>
      </c>
      <c r="T99" s="92">
        <f t="shared" si="45"/>
        <v>3.0515145123561184E-3</v>
      </c>
      <c r="U99" s="69">
        <f>'Dépenses BP 2017'!K102</f>
        <v>80.351304072067123</v>
      </c>
      <c r="V99" s="92">
        <f>'Dépenses BP 2017'!L102</f>
        <v>4.0175652036033564E-2</v>
      </c>
      <c r="W99" s="69"/>
      <c r="X99" s="54"/>
      <c r="Y99" s="74"/>
      <c r="Z99" s="90"/>
      <c r="AA99" s="74"/>
      <c r="AB99" s="90"/>
      <c r="AC99" s="74">
        <f>'Dépenses BP 2017'!BJ102*AD99</f>
        <v>82.456517080478235</v>
      </c>
      <c r="AD99" s="90">
        <f t="shared" si="46"/>
        <v>4.1228258540239121E-2</v>
      </c>
      <c r="AE99" s="128"/>
      <c r="AF99" s="128"/>
      <c r="AG99" s="74">
        <f>'Dépenses BP 2017'!BJ102*AH99</f>
        <v>97.837536323773634</v>
      </c>
      <c r="AH99" s="90">
        <f t="shared" si="47"/>
        <v>4.8918768161886818E-2</v>
      </c>
      <c r="AI99" s="74">
        <f>'Dépenses BP 2017'!BJ102*AJ99</f>
        <v>8.8943214839794216</v>
      </c>
      <c r="AJ99" s="90">
        <f t="shared" si="48"/>
        <v>4.4471607419897105E-3</v>
      </c>
      <c r="AK99" s="74">
        <f>'Dépenses BP 2017'!BJ102*AL99</f>
        <v>7.4553473296070857E-2</v>
      </c>
      <c r="AL99" s="90">
        <f t="shared" si="49"/>
        <v>3.7276736648035431E-5</v>
      </c>
      <c r="AM99" s="74">
        <f>'Dépenses BP 2017'!BJ102*AN99</f>
        <v>13.469888693919716</v>
      </c>
      <c r="AN99" s="90">
        <f t="shared" si="50"/>
        <v>6.7349443469598581E-3</v>
      </c>
      <c r="AO99" s="74">
        <f>'Dépenses BP 2017'!BJ102*AP99</f>
        <v>22.235803709948552</v>
      </c>
      <c r="AP99" s="342">
        <f t="shared" si="51"/>
        <v>1.1117901854974277E-2</v>
      </c>
      <c r="AQ99" s="74">
        <f>'Dépenses BP 2017'!N102</f>
        <v>224.96862076539566</v>
      </c>
      <c r="AR99" s="90">
        <f>'Dépenses BP 2017'!O102</f>
        <v>0.11248431038269782</v>
      </c>
      <c r="AS99" s="133"/>
      <c r="AT99" s="54">
        <f t="shared" si="5"/>
        <v>0</v>
      </c>
      <c r="AU99" s="74">
        <f>'Dépenses BP 2017'!BJ102*AV99</f>
        <v>81.527498131770642</v>
      </c>
      <c r="AV99" s="342">
        <f t="shared" si="52"/>
        <v>4.076374906588532E-2</v>
      </c>
      <c r="AW99" s="74">
        <f>'Dépenses BP 2017'!BJ102*AX99</f>
        <v>1.5453882915558581</v>
      </c>
      <c r="AX99" s="342">
        <f t="shared" si="53"/>
        <v>7.726941457779291E-4</v>
      </c>
      <c r="AY99" s="74">
        <f>'Dépenses BP 2017'!Q102</f>
        <v>83.072886423326509</v>
      </c>
      <c r="AZ99" s="90">
        <f>'Dépenses BP 2017'!R102</f>
        <v>4.1536443211663256E-2</v>
      </c>
      <c r="BA99" s="133"/>
      <c r="BB99" s="211"/>
      <c r="BC99" s="78"/>
      <c r="BD99" s="89"/>
      <c r="BE99" s="78"/>
      <c r="BF99" s="54"/>
      <c r="BG99" s="82">
        <f>'Dépenses BP 2017'!T102</f>
        <v>420.5394303386006</v>
      </c>
      <c r="BH99" s="87">
        <f>'Dépenses BP 2017'!U102</f>
        <v>0.21026971516930029</v>
      </c>
      <c r="BI99" s="82"/>
      <c r="BJ99" s="205">
        <f t="shared" si="6"/>
        <v>0</v>
      </c>
      <c r="BK99" s="205"/>
    </row>
    <row r="100" spans="1:63">
      <c r="A100" s="1584" t="str">
        <f>'Dépenses BP 2017'!A103</f>
        <v>Honoraires expert comptable</v>
      </c>
      <c r="B100" s="61">
        <f>'Dépenses BP 2017'!BJ103*C100</f>
        <v>188.05772160519632</v>
      </c>
      <c r="C100" s="94">
        <f t="shared" si="42"/>
        <v>1.6073309538905668E-2</v>
      </c>
      <c r="D100" s="61">
        <f>'Dépenses BP 2017'!BJ103*E100</f>
        <v>0</v>
      </c>
      <c r="E100" s="94">
        <f t="shared" si="41"/>
        <v>0</v>
      </c>
      <c r="F100" s="61">
        <f>'Dépenses BP 2017'!B103</f>
        <v>188.05772160519632</v>
      </c>
      <c r="G100" s="94">
        <f>'Dépenses BP 2017'!C103</f>
        <v>1.6073309538905668E-2</v>
      </c>
      <c r="H100" s="94"/>
      <c r="I100" s="61">
        <f>'Dépenses BP 2017'!E103</f>
        <v>0</v>
      </c>
      <c r="J100" s="94">
        <f>'Dépenses BP 2017'!F103</f>
        <v>0</v>
      </c>
      <c r="K100" s="61">
        <f>'Dépenses BP 2017'!G103</f>
        <v>188.05772160519632</v>
      </c>
      <c r="L100" s="94">
        <f>'Dépenses BP 2017'!H103</f>
        <v>1.6073309538905668E-2</v>
      </c>
      <c r="M100" s="61"/>
      <c r="N100" s="58"/>
      <c r="O100" s="69">
        <f>'Dépenses BP 2017'!BJ103*P100</f>
        <v>375.02057670150435</v>
      </c>
      <c r="P100" s="92">
        <f t="shared" si="43"/>
        <v>3.2053040743718321E-2</v>
      </c>
      <c r="Q100" s="69">
        <f>'Dépenses BP 2017'!BJ103*R100</f>
        <v>59.331832325521759</v>
      </c>
      <c r="R100" s="92">
        <f t="shared" si="44"/>
        <v>5.0710967799591248E-3</v>
      </c>
      <c r="S100" s="69">
        <f>'Dépenses BP 2017'!BJ103*T100</f>
        <v>35.702719794566583</v>
      </c>
      <c r="T100" s="92">
        <f t="shared" si="45"/>
        <v>3.0515145123561184E-3</v>
      </c>
      <c r="U100" s="69">
        <f>'Dépenses BP 2017'!K103</f>
        <v>470.05512882159269</v>
      </c>
      <c r="V100" s="92">
        <f>'Dépenses BP 2017'!L103</f>
        <v>4.0175652036033564E-2</v>
      </c>
      <c r="W100" s="69"/>
      <c r="X100" s="54"/>
      <c r="Y100" s="74">
        <f>'Dépenses BP 2017'!BJ103*Z100</f>
        <v>0</v>
      </c>
      <c r="Z100" s="90">
        <f>$Z$6/$BJ$6</f>
        <v>0</v>
      </c>
      <c r="AA100" s="74">
        <f>'Dépenses BP 2017'!BJ103*AB100</f>
        <v>0</v>
      </c>
      <c r="AB100" s="90">
        <f>$AB$6/$BJ$6</f>
        <v>0</v>
      </c>
      <c r="AC100" s="74">
        <f>'Dépenses BP 2017'!BJ103*AD100</f>
        <v>482.3706249207977</v>
      </c>
      <c r="AD100" s="90">
        <f>$AD$6/$BJ$6</f>
        <v>4.1228258540239121E-2</v>
      </c>
      <c r="AE100" s="128"/>
      <c r="AF100" s="128"/>
      <c r="AG100" s="74">
        <f>'Dépenses BP 2017'!BJ103*AH100</f>
        <v>572.34958749407576</v>
      </c>
      <c r="AH100" s="90">
        <f>$AH$6/$BJ$6</f>
        <v>4.8918768161886818E-2</v>
      </c>
      <c r="AI100" s="74">
        <f>'Dépenses BP 2017'!BJ103*AJ100</f>
        <v>52.031780681279614</v>
      </c>
      <c r="AJ100" s="90">
        <f>$AJ$6/$BJ$6</f>
        <v>4.4471607419897105E-3</v>
      </c>
      <c r="AK100" s="74">
        <f>'Dépenses BP 2017'!BJ103*AL100</f>
        <v>0.43613781878201457</v>
      </c>
      <c r="AL100" s="90">
        <f>$AL$6/$BJ$6</f>
        <v>3.7276736648035431E-5</v>
      </c>
      <c r="AM100" s="74">
        <f>'Dépenses BP 2017'!BJ103*AN100</f>
        <v>78.798848859430336</v>
      </c>
      <c r="AN100" s="90">
        <f>$AN$6/$BJ$6</f>
        <v>6.7349443469598581E-3</v>
      </c>
      <c r="AO100" s="74">
        <f>'Dépenses BP 2017'!BJ103*AP100</f>
        <v>130.07945170319903</v>
      </c>
      <c r="AP100" s="342">
        <f>$AP$6/$BJ$6</f>
        <v>1.1117901854974277E-2</v>
      </c>
      <c r="AQ100" s="74">
        <f>'Dépenses BP 2017'!N103</f>
        <v>1316.0664314775645</v>
      </c>
      <c r="AR100" s="90">
        <f>'Dépenses BP 2017'!O103</f>
        <v>0.11248431038269782</v>
      </c>
      <c r="AS100" s="133"/>
      <c r="AT100" s="54">
        <f t="shared" si="5"/>
        <v>0</v>
      </c>
      <c r="AU100" s="74">
        <f>'Dépenses BP 2017'!BJ103*AV100</f>
        <v>476.93586407085826</v>
      </c>
      <c r="AV100" s="342">
        <f>$AV$6/$BJ$6</f>
        <v>4.076374906588532E-2</v>
      </c>
      <c r="AW100" s="74">
        <f>'Dépenses BP 2017'!BJ103*AX100</f>
        <v>9.0405215056017703</v>
      </c>
      <c r="AX100" s="342">
        <f t="shared" si="53"/>
        <v>7.726941457779291E-4</v>
      </c>
      <c r="AY100" s="74">
        <f>'Dépenses BP 2017'!Q103</f>
        <v>485.97638557646007</v>
      </c>
      <c r="AZ100" s="90">
        <f>'Dépenses BP 2017'!R103</f>
        <v>4.1536443211663256E-2</v>
      </c>
      <c r="BA100" s="133"/>
      <c r="BB100" s="211"/>
      <c r="BC100" s="78">
        <f>'Dépenses BP 2017'!Q103</f>
        <v>485.97638557646007</v>
      </c>
      <c r="BD100" s="89">
        <f>'Dépenses BP 2017'!R103</f>
        <v>4.1536443211663256E-2</v>
      </c>
      <c r="BE100" s="78"/>
      <c r="BF100" s="54"/>
      <c r="BG100" s="82">
        <f>'Dépenses BP 2017'!T103</f>
        <v>2460.1556674808135</v>
      </c>
      <c r="BH100" s="87">
        <f>'Dépenses BP 2017'!U103</f>
        <v>0.21026971516930029</v>
      </c>
      <c r="BI100" s="82"/>
      <c r="BJ100" s="205">
        <f t="shared" si="6"/>
        <v>0</v>
      </c>
      <c r="BK100" s="205"/>
    </row>
    <row r="101" spans="1:63">
      <c r="A101" s="1584" t="str">
        <f>'Dépenses BP 2017'!A104</f>
        <v>Honoraires CAC</v>
      </c>
      <c r="B101" s="61">
        <f>'Dépenses BP 2017'!BJ104*C101</f>
        <v>83.581209602309471</v>
      </c>
      <c r="C101" s="94">
        <f t="shared" si="42"/>
        <v>1.6073309538905668E-2</v>
      </c>
      <c r="D101" s="61">
        <f>'Dépenses BP 2017'!BJ104*E101</f>
        <v>0</v>
      </c>
      <c r="E101" s="94">
        <f t="shared" si="41"/>
        <v>0</v>
      </c>
      <c r="F101" s="61">
        <f>'Dépenses BP 2017'!B104</f>
        <v>83.581209602309471</v>
      </c>
      <c r="G101" s="94">
        <f>'Dépenses BP 2017'!C104</f>
        <v>1.6073309538905668E-2</v>
      </c>
      <c r="H101" s="94"/>
      <c r="I101" s="61">
        <f>'Dépenses BP 2017'!E104</f>
        <v>0</v>
      </c>
      <c r="J101" s="94">
        <f>'Dépenses BP 2017'!F104</f>
        <v>0</v>
      </c>
      <c r="K101" s="61">
        <f>'Dépenses BP 2017'!G104</f>
        <v>83.581209602309471</v>
      </c>
      <c r="L101" s="94">
        <f>'Dépenses BP 2017'!H104</f>
        <v>1.6073309538905668E-2</v>
      </c>
      <c r="M101" s="61"/>
      <c r="N101" s="58"/>
      <c r="O101" s="69">
        <f>'Dépenses BP 2017'!BJ104*P101</f>
        <v>166.67581186733526</v>
      </c>
      <c r="P101" s="92">
        <f t="shared" si="43"/>
        <v>3.2053040743718321E-2</v>
      </c>
      <c r="Q101" s="69">
        <f>'Dépenses BP 2017'!BJ104*R101</f>
        <v>26.369703255787449</v>
      </c>
      <c r="R101" s="92">
        <f t="shared" si="44"/>
        <v>5.0710967799591248E-3</v>
      </c>
      <c r="S101" s="69">
        <f>'Dépenses BP 2017'!BJ104*T101</f>
        <v>15.867875464251815</v>
      </c>
      <c r="T101" s="92">
        <f t="shared" si="45"/>
        <v>3.0515145123561184E-3</v>
      </c>
      <c r="U101" s="69">
        <f>'Dépenses BP 2017'!K104</f>
        <v>208.91339058737452</v>
      </c>
      <c r="V101" s="92">
        <f>'Dépenses BP 2017'!L104</f>
        <v>4.0175652036033564E-2</v>
      </c>
      <c r="W101" s="69"/>
      <c r="X101" s="54"/>
      <c r="Y101" s="74">
        <f>'Dépenses BP 2017'!BJ104*Z101</f>
        <v>0</v>
      </c>
      <c r="Z101" s="90">
        <f>$Z$6/$BJ$6</f>
        <v>0</v>
      </c>
      <c r="AA101" s="74">
        <f>'Dépenses BP 2017'!BJ104*AB101</f>
        <v>0</v>
      </c>
      <c r="AB101" s="90">
        <f>$AB$6/$BJ$6</f>
        <v>0</v>
      </c>
      <c r="AC101" s="74">
        <f>'Dépenses BP 2017'!BJ104*AD101</f>
        <v>214.38694440924343</v>
      </c>
      <c r="AD101" s="90">
        <f>$AD$6/$BJ$6</f>
        <v>4.1228258540239121E-2</v>
      </c>
      <c r="AE101" s="128"/>
      <c r="AF101" s="128"/>
      <c r="AG101" s="74">
        <f>'Dépenses BP 2017'!BJ104*AH101</f>
        <v>254.37759444181145</v>
      </c>
      <c r="AH101" s="90">
        <f>$AH$6/$BJ$6</f>
        <v>4.8918768161886818E-2</v>
      </c>
      <c r="AI101" s="74">
        <f>'Dépenses BP 2017'!BJ104*AJ101</f>
        <v>23.125235858346496</v>
      </c>
      <c r="AJ101" s="90">
        <f>$AJ$6/$BJ$6</f>
        <v>4.4471607419897105E-3</v>
      </c>
      <c r="AK101" s="74">
        <f>'Dépenses BP 2017'!BJ104*AL101</f>
        <v>0.19383903056978424</v>
      </c>
      <c r="AL101" s="90">
        <f>$AL$6/$BJ$6</f>
        <v>3.7276736648035431E-5</v>
      </c>
      <c r="AM101" s="74">
        <f>'Dépenses BP 2017'!BJ104*AN101</f>
        <v>35.021710604191263</v>
      </c>
      <c r="AN101" s="90">
        <f>$AN$6/$BJ$6</f>
        <v>6.7349443469598581E-3</v>
      </c>
      <c r="AO101" s="74">
        <f>'Dépenses BP 2017'!BJ104*AP101</f>
        <v>57.813089645866235</v>
      </c>
      <c r="AP101" s="342">
        <f>$AP$6/$BJ$6</f>
        <v>1.1117901854974277E-2</v>
      </c>
      <c r="AQ101" s="74">
        <f>'Dépenses BP 2017'!N104</f>
        <v>584.91841399002863</v>
      </c>
      <c r="AR101" s="90">
        <f>'Dépenses BP 2017'!O104</f>
        <v>0.11248431038269782</v>
      </c>
      <c r="AS101" s="133"/>
      <c r="AT101" s="54">
        <f t="shared" si="5"/>
        <v>0</v>
      </c>
      <c r="AU101" s="74">
        <f>'Dépenses BP 2017'!BJ104*AV101</f>
        <v>211.97149514260366</v>
      </c>
      <c r="AV101" s="342">
        <f>$AV$6/$BJ$6</f>
        <v>4.076374906588532E-2</v>
      </c>
      <c r="AW101" s="74">
        <f>'Dépenses BP 2017'!BJ104*AX101</f>
        <v>4.0180095580452315</v>
      </c>
      <c r="AX101" s="342">
        <f t="shared" si="53"/>
        <v>7.726941457779291E-4</v>
      </c>
      <c r="AY101" s="74">
        <f>'Dépenses BP 2017'!Q104</f>
        <v>215.98950470064892</v>
      </c>
      <c r="AZ101" s="90">
        <f>'Dépenses BP 2017'!R104</f>
        <v>4.1536443211663256E-2</v>
      </c>
      <c r="BA101" s="133"/>
      <c r="BB101" s="211"/>
      <c r="BC101" s="78">
        <f>'Dépenses BP 2017'!Q104</f>
        <v>215.98950470064892</v>
      </c>
      <c r="BD101" s="89">
        <f>'Dépenses BP 2017'!R104</f>
        <v>4.1536443211663256E-2</v>
      </c>
      <c r="BE101" s="78"/>
      <c r="BF101" s="54"/>
      <c r="BG101" s="82">
        <f>'Dépenses BP 2017'!T104</f>
        <v>1093.4025188803616</v>
      </c>
      <c r="BH101" s="87">
        <f>'Dépenses BP 2017'!U104</f>
        <v>0.21026971516930029</v>
      </c>
      <c r="BI101" s="82"/>
      <c r="BJ101" s="205">
        <f t="shared" si="6"/>
        <v>0</v>
      </c>
      <c r="BK101" s="205"/>
    </row>
    <row r="102" spans="1:63">
      <c r="A102" s="1584" t="str">
        <f>'Dépenses BP 2017'!A105</f>
        <v>Frais d'acte et de contentieux</v>
      </c>
      <c r="B102" s="61">
        <f>'Dépenses BP 2017'!BJ105*C102</f>
        <v>0.80366547694528334</v>
      </c>
      <c r="C102" s="94">
        <f t="shared" si="42"/>
        <v>1.6073309538905668E-2</v>
      </c>
      <c r="D102" s="61">
        <f>'Dépenses BP 2017'!BJ105*E102</f>
        <v>0</v>
      </c>
      <c r="E102" s="94">
        <f t="shared" si="41"/>
        <v>0</v>
      </c>
      <c r="F102" s="61">
        <f>'Dépenses BP 2017'!B105</f>
        <v>0.80366547694528334</v>
      </c>
      <c r="G102" s="94">
        <f>'Dépenses BP 2017'!C105</f>
        <v>1.6073309538905668E-2</v>
      </c>
      <c r="H102" s="94"/>
      <c r="I102" s="61">
        <f>'Dépenses BP 2017'!E105</f>
        <v>0</v>
      </c>
      <c r="J102" s="94">
        <f>'Dépenses BP 2017'!F105</f>
        <v>0</v>
      </c>
      <c r="K102" s="61">
        <f>'Dépenses BP 2017'!G105</f>
        <v>0.80366547694528334</v>
      </c>
      <c r="L102" s="94">
        <f>'Dépenses BP 2017'!H105</f>
        <v>1.6073309538905668E-2</v>
      </c>
      <c r="M102" s="61"/>
      <c r="N102" s="58"/>
      <c r="O102" s="69">
        <f>'Dépenses BP 2017'!BJ105*P102</f>
        <v>1.6026520371859161</v>
      </c>
      <c r="P102" s="92">
        <f t="shared" si="43"/>
        <v>3.2053040743718321E-2</v>
      </c>
      <c r="Q102" s="69">
        <f>'Dépenses BP 2017'!BJ105*R102</f>
        <v>0.25355483899795622</v>
      </c>
      <c r="R102" s="92">
        <f t="shared" si="44"/>
        <v>5.0710967799591248E-3</v>
      </c>
      <c r="S102" s="69">
        <f>'Dépenses BP 2017'!BJ105*T102</f>
        <v>0.15257572561780591</v>
      </c>
      <c r="T102" s="92">
        <f t="shared" si="45"/>
        <v>3.0515145123561184E-3</v>
      </c>
      <c r="U102" s="69">
        <f>'Dépenses BP 2017'!K105</f>
        <v>2.0087826018016783</v>
      </c>
      <c r="V102" s="92">
        <f>'Dépenses BP 2017'!L105</f>
        <v>4.0175652036033564E-2</v>
      </c>
      <c r="W102" s="69"/>
      <c r="X102" s="54"/>
      <c r="Y102" s="74">
        <f>'Dépenses BP 2017'!BJ105*Z102</f>
        <v>0</v>
      </c>
      <c r="Z102" s="90">
        <f>$Z$6/$BJ$6</f>
        <v>0</v>
      </c>
      <c r="AA102" s="74">
        <f>'Dépenses BP 2017'!BJ105*AB102</f>
        <v>0</v>
      </c>
      <c r="AB102" s="90">
        <f>$AB$6/$BJ$6</f>
        <v>0</v>
      </c>
      <c r="AC102" s="74">
        <f>'Dépenses BP 2017'!BJ105*AD102</f>
        <v>2.0614129270119559</v>
      </c>
      <c r="AD102" s="90">
        <f>$AD$6/$BJ$6</f>
        <v>4.1228258540239121E-2</v>
      </c>
      <c r="AE102" s="128"/>
      <c r="AF102" s="128"/>
      <c r="AG102" s="74">
        <f>'Dépenses BP 2017'!BJ105*AH102</f>
        <v>2.4459384080943409</v>
      </c>
      <c r="AH102" s="90">
        <f>$AH$6/$BJ$6</f>
        <v>4.8918768161886818E-2</v>
      </c>
      <c r="AI102" s="74">
        <f>'Dépenses BP 2017'!BJ105*AJ102</f>
        <v>0.22235803709948551</v>
      </c>
      <c r="AJ102" s="90">
        <f>$AJ$6/$BJ$6</f>
        <v>4.4471607419897105E-3</v>
      </c>
      <c r="AK102" s="74">
        <f>'Dépenses BP 2017'!BJ105*AL102</f>
        <v>1.8638368324017717E-3</v>
      </c>
      <c r="AL102" s="90">
        <f>$AL$6/$BJ$6</f>
        <v>3.7276736648035431E-5</v>
      </c>
      <c r="AM102" s="74">
        <f>'Dépenses BP 2017'!BJ105*AN102</f>
        <v>0.3367472173479929</v>
      </c>
      <c r="AN102" s="90">
        <f>$AN$6/$BJ$6</f>
        <v>6.7349443469598581E-3</v>
      </c>
      <c r="AO102" s="74">
        <f>'Dépenses BP 2017'!BJ105*AP102</f>
        <v>0.55589509274871385</v>
      </c>
      <c r="AP102" s="342">
        <f>$AP$6/$BJ$6</f>
        <v>1.1117901854974277E-2</v>
      </c>
      <c r="AQ102" s="74">
        <f>'Dépenses BP 2017'!N105</f>
        <v>5.624215519134891</v>
      </c>
      <c r="AR102" s="90">
        <f>'Dépenses BP 2017'!O105</f>
        <v>0.11248431038269782</v>
      </c>
      <c r="AS102" s="133"/>
      <c r="AT102" s="54">
        <f t="shared" si="5"/>
        <v>0</v>
      </c>
      <c r="AU102" s="74">
        <f>'Dépenses BP 2017'!BJ105*AV102</f>
        <v>2.0381874532942659</v>
      </c>
      <c r="AV102" s="342">
        <f>$AV$6/$BJ$6</f>
        <v>4.076374906588532E-2</v>
      </c>
      <c r="AW102" s="74">
        <f>'Dépenses BP 2017'!BJ105*AX102</f>
        <v>3.8634707288896453E-2</v>
      </c>
      <c r="AX102" s="342">
        <f t="shared" si="53"/>
        <v>7.726941457779291E-4</v>
      </c>
      <c r="AY102" s="74">
        <f>'Dépenses BP 2017'!Q105</f>
        <v>2.0768221605831627</v>
      </c>
      <c r="AZ102" s="90">
        <f>'Dépenses BP 2017'!R105</f>
        <v>4.1536443211663256E-2</v>
      </c>
      <c r="BA102" s="133"/>
      <c r="BB102" s="211"/>
      <c r="BC102" s="78">
        <f>'Dépenses BP 2017'!Q105</f>
        <v>2.0768221605831627</v>
      </c>
      <c r="BD102" s="89">
        <f>'Dépenses BP 2017'!R105</f>
        <v>4.1536443211663256E-2</v>
      </c>
      <c r="BE102" s="78"/>
      <c r="BF102" s="54"/>
      <c r="BG102" s="82">
        <f>'Dépenses BP 2017'!T105</f>
        <v>10.513485758465016</v>
      </c>
      <c r="BH102" s="87">
        <f>'Dépenses BP 2017'!U105</f>
        <v>0.21026971516930029</v>
      </c>
      <c r="BI102" s="82"/>
      <c r="BJ102" s="205">
        <f t="shared" si="6"/>
        <v>0</v>
      </c>
      <c r="BK102" s="205"/>
    </row>
    <row r="103" spans="1:63">
      <c r="A103" s="1584" t="str">
        <f>'Dépenses BP 2017'!A106</f>
        <v>MEF Outils Communication</v>
      </c>
      <c r="B103" s="61">
        <f>'Dépenses BP 2017'!BJ106*C103</f>
        <v>25.717295262249067</v>
      </c>
      <c r="C103" s="94">
        <f t="shared" si="42"/>
        <v>1.6073309538905668E-2</v>
      </c>
      <c r="D103" s="61">
        <f>'Dépenses BP 2017'!BJ106*E103</f>
        <v>0</v>
      </c>
      <c r="E103" s="94">
        <f t="shared" si="41"/>
        <v>0</v>
      </c>
      <c r="F103" s="61">
        <f>'Dépenses BP 2017'!B106</f>
        <v>25.717295262249067</v>
      </c>
      <c r="G103" s="94">
        <f>'Dépenses BP 2017'!C106</f>
        <v>1.6073309538905668E-2</v>
      </c>
      <c r="H103" s="94"/>
      <c r="I103" s="61">
        <f>'Dépenses BP 2017'!E106</f>
        <v>0</v>
      </c>
      <c r="J103" s="94">
        <f>'Dépenses BP 2017'!F106</f>
        <v>0</v>
      </c>
      <c r="K103" s="61">
        <f>'Dépenses BP 2017'!G106</f>
        <v>25.717295262249067</v>
      </c>
      <c r="L103" s="94">
        <f>'Dépenses BP 2017'!H106</f>
        <v>1.6073309538905668E-2</v>
      </c>
      <c r="M103" s="61"/>
      <c r="N103" s="58"/>
      <c r="O103" s="69">
        <f>'Dépenses BP 2017'!BJ106*P103</f>
        <v>51.284865189949315</v>
      </c>
      <c r="P103" s="92">
        <f t="shared" si="43"/>
        <v>3.2053040743718321E-2</v>
      </c>
      <c r="Q103" s="69">
        <f>'Dépenses BP 2017'!BJ106*R103</f>
        <v>8.1137548479345991</v>
      </c>
      <c r="R103" s="92">
        <f t="shared" si="44"/>
        <v>5.0710967799591248E-3</v>
      </c>
      <c r="S103" s="69">
        <f>'Dépenses BP 2017'!BJ106*T103</f>
        <v>4.8824232197697892</v>
      </c>
      <c r="T103" s="92">
        <f t="shared" si="45"/>
        <v>3.0515145123561184E-3</v>
      </c>
      <c r="U103" s="69">
        <f>'Dépenses BP 2017'!K106</f>
        <v>64.281043257653707</v>
      </c>
      <c r="V103" s="92">
        <f>'Dépenses BP 2017'!L106</f>
        <v>4.0175652036033564E-2</v>
      </c>
      <c r="W103" s="69"/>
      <c r="X103" s="54"/>
      <c r="Y103" s="74">
        <f>'Dépenses BP 2017'!BJ106*Z103</f>
        <v>0</v>
      </c>
      <c r="Z103" s="90">
        <f>$Z$6/$BJ$6</f>
        <v>0</v>
      </c>
      <c r="AA103" s="74">
        <f>'Dépenses BP 2017'!BJ106*AB103</f>
        <v>0</v>
      </c>
      <c r="AB103" s="90">
        <f>$AB$6/$BJ$6</f>
        <v>0</v>
      </c>
      <c r="AC103" s="74">
        <f>'Dépenses BP 2017'!BJ106*AD103</f>
        <v>65.965213664382588</v>
      </c>
      <c r="AD103" s="90">
        <f>$AD$6/$BJ$6</f>
        <v>4.1228258540239121E-2</v>
      </c>
      <c r="AE103" s="128"/>
      <c r="AF103" s="128"/>
      <c r="AG103" s="74">
        <f>'Dépenses BP 2017'!BJ106*AH103</f>
        <v>78.27002905901891</v>
      </c>
      <c r="AH103" s="90">
        <f>$AH$6/$BJ$6</f>
        <v>4.8918768161886818E-2</v>
      </c>
      <c r="AI103" s="74">
        <f>'Dépenses BP 2017'!BJ106*AJ103</f>
        <v>7.1154571871835364</v>
      </c>
      <c r="AJ103" s="90">
        <f>$AJ$6/$BJ$6</f>
        <v>4.4471607419897105E-3</v>
      </c>
      <c r="AK103" s="74">
        <f>'Dépenses BP 2017'!BJ106*AL103</f>
        <v>5.9642778636856693E-2</v>
      </c>
      <c r="AL103" s="90">
        <f>$AL$6/$BJ$6</f>
        <v>3.7276736648035431E-5</v>
      </c>
      <c r="AM103" s="74">
        <f>'Dépenses BP 2017'!BJ106*AN103</f>
        <v>10.775910955135773</v>
      </c>
      <c r="AN103" s="90">
        <f>$AN$6/$BJ$6</f>
        <v>6.7349443469598581E-3</v>
      </c>
      <c r="AO103" s="74">
        <f>'Dépenses BP 2017'!BJ106*AP103</f>
        <v>17.788642967958843</v>
      </c>
      <c r="AP103" s="342">
        <f>$AP$6/$BJ$6</f>
        <v>1.1117901854974277E-2</v>
      </c>
      <c r="AQ103" s="74">
        <f>'Dépenses BP 2017'!N106</f>
        <v>179.97489661231651</v>
      </c>
      <c r="AR103" s="90">
        <f>'Dépenses BP 2017'!O106</f>
        <v>0.11248431038269782</v>
      </c>
      <c r="AS103" s="133"/>
      <c r="AT103" s="54">
        <f t="shared" si="5"/>
        <v>0</v>
      </c>
      <c r="AU103" s="74">
        <f>'Dépenses BP 2017'!BJ106*AV103</f>
        <v>65.221998505416508</v>
      </c>
      <c r="AV103" s="342">
        <f>$AV$6/$BJ$6</f>
        <v>4.076374906588532E-2</v>
      </c>
      <c r="AW103" s="74">
        <f>'Dépenses BP 2017'!BJ106*AX103</f>
        <v>1.2363106332446865</v>
      </c>
      <c r="AX103" s="342">
        <f t="shared" si="53"/>
        <v>7.726941457779291E-4</v>
      </c>
      <c r="AY103" s="74">
        <f>'Dépenses BP 2017'!Q106</f>
        <v>66.458309138661207</v>
      </c>
      <c r="AZ103" s="90">
        <f>'Dépenses BP 2017'!R106</f>
        <v>4.1536443211663256E-2</v>
      </c>
      <c r="BA103" s="133"/>
      <c r="BB103" s="211"/>
      <c r="BC103" s="78">
        <f>'Dépenses BP 2017'!Q106</f>
        <v>66.458309138661207</v>
      </c>
      <c r="BD103" s="89">
        <f>'Dépenses BP 2017'!R106</f>
        <v>4.1536443211663256E-2</v>
      </c>
      <c r="BE103" s="78"/>
      <c r="BF103" s="54"/>
      <c r="BG103" s="82">
        <f>'Dépenses BP 2017'!T106</f>
        <v>336.43154427088052</v>
      </c>
      <c r="BH103" s="87">
        <f>'Dépenses BP 2017'!U106</f>
        <v>0.21026971516930029</v>
      </c>
      <c r="BI103" s="82"/>
      <c r="BJ103" s="205">
        <f t="shared" si="6"/>
        <v>0</v>
      </c>
      <c r="BK103" s="205"/>
    </row>
    <row r="104" spans="1:63">
      <c r="A104" s="1584" t="str">
        <f>'Dépenses BP 2017'!A107</f>
        <v>MDE Outils Communication</v>
      </c>
      <c r="B104" s="61">
        <f>'Dépenses BP 2017'!BJ107*C104</f>
        <v>114.66208668683539</v>
      </c>
      <c r="C104" s="94">
        <f>$C$6/$BI$6</f>
        <v>7.6441391124556932E-2</v>
      </c>
      <c r="D104" s="61">
        <f>'Dépenses BP 2017'!BJ107*E104</f>
        <v>0</v>
      </c>
      <c r="E104" s="94">
        <f>$E$6/$BI$6</f>
        <v>0</v>
      </c>
      <c r="F104" s="61">
        <f>'Dépenses BP 2017'!B107</f>
        <v>114.66208668683539</v>
      </c>
      <c r="G104" s="94">
        <f>'Dépenses BP 2017'!C107</f>
        <v>7.6441391124556932E-2</v>
      </c>
      <c r="H104" s="94"/>
      <c r="I104" s="61">
        <f>'Dépenses BP 2017'!E107</f>
        <v>0</v>
      </c>
      <c r="J104" s="94">
        <f>'Dépenses BP 2017'!F107</f>
        <v>0</v>
      </c>
      <c r="K104" s="61">
        <f>'Dépenses BP 2017'!G107</f>
        <v>114.66208668683539</v>
      </c>
      <c r="L104" s="94">
        <f>'Dépenses BP 2017'!H107</f>
        <v>7.6441391124556932E-2</v>
      </c>
      <c r="M104" s="61"/>
      <c r="N104" s="58"/>
      <c r="O104" s="69">
        <f>'Dépenses BP 2017'!BJ107*P104</f>
        <v>228.65661408665457</v>
      </c>
      <c r="P104" s="92">
        <f>$P$6/$BI$6</f>
        <v>0.15243774272443639</v>
      </c>
      <c r="Q104" s="69">
        <f>'Dépenses BP 2017'!BJ107*R104</f>
        <v>36.175657363753679</v>
      </c>
      <c r="R104" s="92">
        <f>$R$6/$BI$6</f>
        <v>2.4117104909169119E-2</v>
      </c>
      <c r="S104" s="69">
        <f>'Dépenses BP 2017'!BJ107*T104</f>
        <v>21.768573590584602</v>
      </c>
      <c r="T104" s="92">
        <f>$T$6/$BI$6</f>
        <v>1.4512382393723069E-2</v>
      </c>
      <c r="U104" s="69">
        <f>'Dépenses BP 2017'!K107</f>
        <v>286.60084504099291</v>
      </c>
      <c r="V104" s="92">
        <f>'Dépenses BP 2017'!L107</f>
        <v>0.19106723002732859</v>
      </c>
      <c r="W104" s="69"/>
      <c r="X104" s="54"/>
      <c r="Y104" s="74">
        <f>'Dépenses BP 2017'!BJ107*Z104</f>
        <v>0</v>
      </c>
      <c r="Z104" s="90">
        <f>$Z$6/$BI$6</f>
        <v>0</v>
      </c>
      <c r="AA104" s="74">
        <f>'Dépenses BP 2017'!T107*AB104</f>
        <v>0</v>
      </c>
      <c r="AB104" s="90">
        <f>$AB$6/$BI$6</f>
        <v>0</v>
      </c>
      <c r="AC104" s="74">
        <f>'Dépenses BP 2017'!T107*AD104</f>
        <v>294.10981871814391</v>
      </c>
      <c r="AD104" s="90">
        <f>$AD$6/$BI$6</f>
        <v>0.19607321247876261</v>
      </c>
      <c r="AE104" s="128"/>
      <c r="AF104" s="128"/>
      <c r="AG104" s="74">
        <f>'Dépenses BP 2017'!T107*AH104</f>
        <v>348.97156817732514</v>
      </c>
      <c r="AH104" s="90">
        <f>$AH$6/$BI$6</f>
        <v>0.23264771211821675</v>
      </c>
      <c r="AI104" s="74">
        <f>'Dépenses BP 2017'!T107*AJ104</f>
        <v>31.724688016120464</v>
      </c>
      <c r="AJ104" s="90">
        <f>$AJ$6/$BI$6</f>
        <v>2.1149792010746977E-2</v>
      </c>
      <c r="AK104" s="74">
        <f>'Dépenses BP 2017'!T107*AL104</f>
        <v>0.26592086704941159</v>
      </c>
      <c r="AL104" s="90">
        <f>$AL$6/$BI$6</f>
        <v>1.7728057803294105E-4</v>
      </c>
      <c r="AM104" s="74">
        <f>'Dépenses BP 2017'!T107*AN104</f>
        <v>48.045038308563583</v>
      </c>
      <c r="AN104" s="90">
        <f>$AN$6/$BI$6</f>
        <v>3.2030025539042391E-2</v>
      </c>
      <c r="AO104" s="74">
        <f>'Dépenses BP 2017'!T107*AP104</f>
        <v>79.311720040301168</v>
      </c>
      <c r="AP104" s="90">
        <f>$AP$6/$BI$6</f>
        <v>5.2874480026867447E-2</v>
      </c>
      <c r="AQ104" s="74">
        <f>'Dépenses BP 2017'!N107</f>
        <v>802.42875412750379</v>
      </c>
      <c r="AR104" s="90">
        <f>'Dépenses BP 2017'!O107</f>
        <v>0.53495250275166917</v>
      </c>
      <c r="AS104" s="133"/>
      <c r="AT104" s="54">
        <f t="shared" si="5"/>
        <v>0</v>
      </c>
      <c r="AU104" s="74">
        <f>'Dépenses BP 2017'!BJ107*AV104</f>
        <v>290.79614983829742</v>
      </c>
      <c r="AV104" s="90">
        <f>$AV$6/$BI$6</f>
        <v>0.1938640998921983</v>
      </c>
      <c r="AW104" s="74">
        <f>'Dépenses BP 2017'!BJ107*AX104</f>
        <v>5.5121643063704271</v>
      </c>
      <c r="AX104" s="90">
        <f>$AX$6/$BI$6</f>
        <v>3.6747762042469516E-3</v>
      </c>
      <c r="AY104" s="74">
        <f>'Dépenses BP 2017'!Q107</f>
        <v>296.30831414466792</v>
      </c>
      <c r="AZ104" s="90">
        <f>'Dépenses BP 2017'!R107</f>
        <v>0.19753887609644527</v>
      </c>
      <c r="BA104" s="133"/>
      <c r="BB104" s="211"/>
      <c r="BC104" s="78">
        <f>'Dépenses BP 2017'!Q107</f>
        <v>296.30831414466792</v>
      </c>
      <c r="BD104" s="89">
        <f>'Dépenses BP 2017'!R107</f>
        <v>0.19753887609644527</v>
      </c>
      <c r="BE104" s="78"/>
      <c r="BF104" s="54"/>
      <c r="BG104" s="82">
        <f>'Dépenses BP 2017'!T107</f>
        <v>1500</v>
      </c>
      <c r="BH104" s="87">
        <f>'Dépenses BP 2017'!U107</f>
        <v>0.99999999999999989</v>
      </c>
      <c r="BI104" s="82"/>
      <c r="BJ104" s="205">
        <f t="shared" si="6"/>
        <v>0</v>
      </c>
      <c r="BK104" s="205"/>
    </row>
    <row r="105" spans="1:63">
      <c r="A105" s="1584" t="str">
        <f>'Dépenses BP 2017'!A108</f>
        <v>ML Outils Communication</v>
      </c>
      <c r="B105" s="61">
        <f>'Dépenses BP 2017'!BJ108*C105</f>
        <v>0</v>
      </c>
      <c r="C105" s="94"/>
      <c r="D105" s="61"/>
      <c r="E105" s="94"/>
      <c r="F105" s="61"/>
      <c r="G105" s="94"/>
      <c r="H105" s="94"/>
      <c r="I105" s="61"/>
      <c r="J105" s="94"/>
      <c r="K105" s="61"/>
      <c r="L105" s="94"/>
      <c r="M105" s="61"/>
      <c r="N105" s="58"/>
      <c r="O105" s="69"/>
      <c r="P105" s="92"/>
      <c r="Q105" s="69"/>
      <c r="R105" s="92"/>
      <c r="S105" s="69"/>
      <c r="T105" s="92"/>
      <c r="U105" s="69"/>
      <c r="V105" s="92"/>
      <c r="W105" s="69"/>
      <c r="X105" s="54"/>
      <c r="Y105" s="74"/>
      <c r="Z105" s="90"/>
      <c r="AA105" s="74"/>
      <c r="AB105" s="90"/>
      <c r="AC105" s="74"/>
      <c r="AD105" s="90"/>
      <c r="AE105" s="128"/>
      <c r="AF105" s="128"/>
      <c r="AG105" s="74"/>
      <c r="AH105" s="90"/>
      <c r="AI105" s="74"/>
      <c r="AJ105" s="90"/>
      <c r="AK105" s="74"/>
      <c r="AL105" s="90"/>
      <c r="AM105" s="74"/>
      <c r="AN105" s="90"/>
      <c r="AO105" s="90"/>
      <c r="AP105" s="90"/>
      <c r="AQ105" s="74"/>
      <c r="AR105" s="90"/>
      <c r="AS105" s="133"/>
      <c r="AT105" s="54">
        <f t="shared" si="5"/>
        <v>0</v>
      </c>
      <c r="AU105" s="74"/>
      <c r="AV105" s="90"/>
      <c r="AW105" s="74"/>
      <c r="AX105" s="90"/>
      <c r="AY105" s="74"/>
      <c r="AZ105" s="90"/>
      <c r="BA105" s="133"/>
      <c r="BB105" s="211"/>
      <c r="BC105" s="78"/>
      <c r="BD105" s="89"/>
      <c r="BE105" s="78"/>
      <c r="BF105" s="54"/>
      <c r="BG105" s="82"/>
      <c r="BH105" s="87"/>
      <c r="BI105" s="82"/>
      <c r="BJ105" s="205">
        <f t="shared" si="6"/>
        <v>0</v>
      </c>
      <c r="BK105" s="205"/>
    </row>
    <row r="106" spans="1:63">
      <c r="A106" s="1584" t="str">
        <f>'Dépenses BP 2017'!A109</f>
        <v>Cadeaux partenaires</v>
      </c>
      <c r="B106" s="61">
        <f>'Dépenses BP 2017'!BJ109*C106</f>
        <v>1.6073309538905667</v>
      </c>
      <c r="C106" s="94">
        <f>$C$6/$BJ$6</f>
        <v>1.6073309538905668E-2</v>
      </c>
      <c r="D106" s="61">
        <f>'Dépenses BP 2017'!BJ109*E106</f>
        <v>0</v>
      </c>
      <c r="E106" s="94">
        <f>$E$6/$BJ$6</f>
        <v>0</v>
      </c>
      <c r="F106" s="61">
        <f>'Dépenses BP 2017'!B109</f>
        <v>1.6073309538905667</v>
      </c>
      <c r="G106" s="94">
        <f>'Dépenses BP 2017'!C109</f>
        <v>1.6073309538905668E-2</v>
      </c>
      <c r="H106" s="94"/>
      <c r="I106" s="61">
        <f>'Dépenses BP 2017'!E109</f>
        <v>0</v>
      </c>
      <c r="J106" s="94">
        <f>'Dépenses BP 2017'!F109</f>
        <v>0</v>
      </c>
      <c r="K106" s="61">
        <f>'Dépenses BP 2017'!G109</f>
        <v>1.6073309538905667</v>
      </c>
      <c r="L106" s="94">
        <f>'Dépenses BP 2017'!H109</f>
        <v>1.6073309538905668E-2</v>
      </c>
      <c r="M106" s="61"/>
      <c r="N106" s="58"/>
      <c r="O106" s="69">
        <f>'Dépenses BP 2017'!BJ109*P106</f>
        <v>3.2053040743718322</v>
      </c>
      <c r="P106" s="92">
        <f>$P$6/$BJ$6</f>
        <v>3.2053040743718321E-2</v>
      </c>
      <c r="Q106" s="69">
        <f>'Dépenses BP 2017'!BJ109*R106</f>
        <v>0.50710967799591244</v>
      </c>
      <c r="R106" s="92">
        <f>$R$6/$BJ$6</f>
        <v>5.0710967799591248E-3</v>
      </c>
      <c r="S106" s="69">
        <f>'Dépenses BP 2017'!BJ109*T106</f>
        <v>0.30515145123561183</v>
      </c>
      <c r="T106" s="92">
        <f>$T$6/$BJ$6</f>
        <v>3.0515145123561184E-3</v>
      </c>
      <c r="U106" s="69">
        <f>'Dépenses BP 2017'!K109</f>
        <v>4.0175652036033567</v>
      </c>
      <c r="V106" s="92">
        <f>'Dépenses BP 2017'!L109</f>
        <v>4.0175652036033564E-2</v>
      </c>
      <c r="W106" s="69"/>
      <c r="X106" s="54"/>
      <c r="Y106" s="74">
        <f>'Dépenses BP 2017'!BJ109*Z106</f>
        <v>0</v>
      </c>
      <c r="Z106" s="90">
        <f>$Z$6/$BJ$6</f>
        <v>0</v>
      </c>
      <c r="AA106" s="74">
        <f>'Dépenses BP 2017'!BJ109*AB106</f>
        <v>0</v>
      </c>
      <c r="AB106" s="90">
        <f>$AB$6/$BJ$6</f>
        <v>0</v>
      </c>
      <c r="AC106" s="74">
        <f>'Dépenses BP 2017'!BJ109*AD106</f>
        <v>4.1228258540239118</v>
      </c>
      <c r="AD106" s="90">
        <f>$AD$6/$BJ$6</f>
        <v>4.1228258540239121E-2</v>
      </c>
      <c r="AE106" s="128"/>
      <c r="AF106" s="128"/>
      <c r="AG106" s="74">
        <f>'Dépenses BP 2017'!BJ109*AH106</f>
        <v>4.8918768161886819</v>
      </c>
      <c r="AH106" s="90">
        <f>$AH$6/$BJ$6</f>
        <v>4.8918768161886818E-2</v>
      </c>
      <c r="AI106" s="74">
        <f>'Dépenses BP 2017'!BJ109*AJ106</f>
        <v>0.44471607419897102</v>
      </c>
      <c r="AJ106" s="90">
        <f>$AJ$6/$BJ$6</f>
        <v>4.4471607419897105E-3</v>
      </c>
      <c r="AK106" s="74">
        <f>'Dépenses BP 2017'!BJ109*AL106</f>
        <v>3.7276736648035433E-3</v>
      </c>
      <c r="AL106" s="90">
        <f>$AL$6/$BJ$6</f>
        <v>3.7276736648035431E-5</v>
      </c>
      <c r="AM106" s="74">
        <f>'Dépenses BP 2017'!BJ109*AN106</f>
        <v>0.6734944346959858</v>
      </c>
      <c r="AN106" s="90">
        <f>$AN$6/$BJ$6</f>
        <v>6.7349443469598581E-3</v>
      </c>
      <c r="AO106" s="74">
        <f>'Dépenses BP 2017'!BJ109*AP106</f>
        <v>1.1117901854974277</v>
      </c>
      <c r="AP106" s="342">
        <f>$AP$6/$BJ$6</f>
        <v>1.1117901854974277E-2</v>
      </c>
      <c r="AQ106" s="74">
        <f>'Dépenses BP 2017'!N109</f>
        <v>11.248431038269782</v>
      </c>
      <c r="AR106" s="90">
        <f>'Dépenses BP 2017'!O109</f>
        <v>0.11248431038269782</v>
      </c>
      <c r="AS106" s="133"/>
      <c r="AT106" s="54">
        <f t="shared" si="5"/>
        <v>0</v>
      </c>
      <c r="AU106" s="74">
        <f>'Dépenses BP 2017'!BJ109*AV106</f>
        <v>4.0763749065885317</v>
      </c>
      <c r="AV106" s="342">
        <f>$AV$6/$BJ$6</f>
        <v>4.076374906588532E-2</v>
      </c>
      <c r="AW106" s="74">
        <f>'Dépenses BP 2017'!BJ109*AX106</f>
        <v>7.7269414577792905E-2</v>
      </c>
      <c r="AX106" s="342">
        <f t="shared" ref="AX106:AX107" si="54">$AX$6/$BJ$6</f>
        <v>7.726941457779291E-4</v>
      </c>
      <c r="AY106" s="74">
        <f>'Dépenses BP 2017'!Q109</f>
        <v>4.1536443211663254</v>
      </c>
      <c r="AZ106" s="90">
        <f>'Dépenses BP 2017'!R109</f>
        <v>4.1536443211663256E-2</v>
      </c>
      <c r="BA106" s="133"/>
      <c r="BB106" s="211"/>
      <c r="BC106" s="78">
        <f>'Dépenses BP 2017'!Q109</f>
        <v>4.1536443211663254</v>
      </c>
      <c r="BD106" s="89">
        <f>'Dépenses BP 2017'!R109</f>
        <v>4.1536443211663256E-2</v>
      </c>
      <c r="BE106" s="78"/>
      <c r="BF106" s="54"/>
      <c r="BG106" s="82">
        <f>'Dépenses BP 2017'!T109</f>
        <v>21.026971516930033</v>
      </c>
      <c r="BH106" s="87">
        <f>'Dépenses BP 2017'!U109</f>
        <v>0.21026971516930029</v>
      </c>
      <c r="BI106" s="82"/>
      <c r="BJ106" s="205">
        <f t="shared" si="6"/>
        <v>0</v>
      </c>
      <c r="BK106" s="205"/>
    </row>
    <row r="107" spans="1:63">
      <c r="A107" s="1584" t="str">
        <f>'Dépenses BP 2017'!A110</f>
        <v>Remb de frais sur justificatif</v>
      </c>
      <c r="B107" s="61">
        <f>'Dépenses BP 2017'!BJ110*C107</f>
        <v>144.659785850151</v>
      </c>
      <c r="C107" s="94">
        <f>$C$6/$BJ$6</f>
        <v>1.6073309538905668E-2</v>
      </c>
      <c r="D107" s="61">
        <f>'Dépenses BP 2017'!BJ110*E107</f>
        <v>0</v>
      </c>
      <c r="E107" s="94">
        <f>$E$6/$BJ$6</f>
        <v>0</v>
      </c>
      <c r="F107" s="61">
        <f>'Dépenses BP 2017'!B110</f>
        <v>144.659785850151</v>
      </c>
      <c r="G107" s="94">
        <f>'Dépenses BP 2017'!C110</f>
        <v>1.6073309538905668E-2</v>
      </c>
      <c r="H107" s="94"/>
      <c r="I107" s="61">
        <f>'Dépenses BP 2017'!E110</f>
        <v>0</v>
      </c>
      <c r="J107" s="94">
        <f>'Dépenses BP 2017'!F110</f>
        <v>0</v>
      </c>
      <c r="K107" s="61">
        <f>'Dépenses BP 2017'!G110</f>
        <v>144.659785850151</v>
      </c>
      <c r="L107" s="94">
        <f>'Dépenses BP 2017'!H110</f>
        <v>1.6073309538905668E-2</v>
      </c>
      <c r="M107" s="61"/>
      <c r="N107" s="58"/>
      <c r="O107" s="69">
        <f>'Dépenses BP 2017'!BJ110*P107</f>
        <v>288.47736669346489</v>
      </c>
      <c r="P107" s="92">
        <f>$P$6/$BJ$6</f>
        <v>3.2053040743718321E-2</v>
      </c>
      <c r="Q107" s="69">
        <f>'Dépenses BP 2017'!BJ110*R107</f>
        <v>45.639871019632125</v>
      </c>
      <c r="R107" s="92">
        <f>$R$6/$BJ$6</f>
        <v>5.0710967799591248E-3</v>
      </c>
      <c r="S107" s="69">
        <f>'Dépenses BP 2017'!BJ110*T107</f>
        <v>27.463630611205065</v>
      </c>
      <c r="T107" s="92">
        <f>$T$6/$BJ$6</f>
        <v>3.0515145123561184E-3</v>
      </c>
      <c r="U107" s="69">
        <f>'Dépenses BP 2017'!K110</f>
        <v>361.58086832430206</v>
      </c>
      <c r="V107" s="92">
        <f>'Dépenses BP 2017'!L110</f>
        <v>4.0175652036033564E-2</v>
      </c>
      <c r="W107" s="69"/>
      <c r="X107" s="54"/>
      <c r="Y107" s="74">
        <f>'Dépenses BP 2017'!BJ110*Z107</f>
        <v>0</v>
      </c>
      <c r="Z107" s="90">
        <f>$Z$6/$BJ$6</f>
        <v>0</v>
      </c>
      <c r="AA107" s="74">
        <f>'Dépenses BP 2017'!BJ110*AB107</f>
        <v>0</v>
      </c>
      <c r="AB107" s="90">
        <f>$AB$6/$BJ$6</f>
        <v>0</v>
      </c>
      <c r="AC107" s="74">
        <f>'Dépenses BP 2017'!BJ110*AD107</f>
        <v>371.0543268621521</v>
      </c>
      <c r="AD107" s="90">
        <f>$AD$6/$BJ$6</f>
        <v>4.1228258540239121E-2</v>
      </c>
      <c r="AE107" s="128"/>
      <c r="AF107" s="128"/>
      <c r="AG107" s="74">
        <f>'Dépenses BP 2017'!BJ110*AH107</f>
        <v>440.26891345698135</v>
      </c>
      <c r="AH107" s="90">
        <f>$AH$6/$BJ$6</f>
        <v>4.8918768161886818E-2</v>
      </c>
      <c r="AI107" s="74">
        <f>'Dépenses BP 2017'!BJ110*AJ107</f>
        <v>40.024446677907392</v>
      </c>
      <c r="AJ107" s="90">
        <f>$AJ$6/$BJ$6</f>
        <v>4.4471607419897105E-3</v>
      </c>
      <c r="AK107" s="74">
        <f>'Dépenses BP 2017'!BJ110*AL107</f>
        <v>0.33549062983231887</v>
      </c>
      <c r="AL107" s="90">
        <f>$AL$6/$BJ$6</f>
        <v>3.7276736648035431E-5</v>
      </c>
      <c r="AM107" s="74">
        <f>'Dépenses BP 2017'!BJ110*AN107</f>
        <v>60.614499122638719</v>
      </c>
      <c r="AN107" s="90">
        <f>$AN$6/$BJ$6</f>
        <v>6.7349443469598581E-3</v>
      </c>
      <c r="AO107" s="74">
        <f>'Dépenses BP 2017'!BJ110*AP107</f>
        <v>100.06111669476849</v>
      </c>
      <c r="AP107" s="342">
        <f>$AP$6/$BJ$6</f>
        <v>1.1117901854974277E-2</v>
      </c>
      <c r="AQ107" s="74">
        <f>'Dépenses BP 2017'!N110</f>
        <v>1012.3587934442804</v>
      </c>
      <c r="AR107" s="90">
        <f>'Dépenses BP 2017'!O110</f>
        <v>0.11248431038269782</v>
      </c>
      <c r="AS107" s="133"/>
      <c r="AT107" s="54">
        <f t="shared" si="5"/>
        <v>0</v>
      </c>
      <c r="AU107" s="74">
        <f>'Dépenses BP 2017'!BJ110*AV107</f>
        <v>366.87374159296786</v>
      </c>
      <c r="AV107" s="342">
        <f>$AV$6/$BJ$6</f>
        <v>4.076374906588532E-2</v>
      </c>
      <c r="AW107" s="74">
        <f>'Dépenses BP 2017'!BJ110*AX107</f>
        <v>6.9542473120013621</v>
      </c>
      <c r="AX107" s="342">
        <f t="shared" si="54"/>
        <v>7.726941457779291E-4</v>
      </c>
      <c r="AY107" s="74">
        <f>'Dépenses BP 2017'!Q110</f>
        <v>373.82798890496929</v>
      </c>
      <c r="AZ107" s="90">
        <f>'Dépenses BP 2017'!R110</f>
        <v>4.1536443211663256E-2</v>
      </c>
      <c r="BA107" s="133"/>
      <c r="BB107" s="211"/>
      <c r="BC107" s="78">
        <f>'Dépenses BP 2017'!Q110</f>
        <v>373.82798890496929</v>
      </c>
      <c r="BD107" s="89">
        <f>'Dépenses BP 2017'!R110</f>
        <v>4.1536443211663256E-2</v>
      </c>
      <c r="BE107" s="78"/>
      <c r="BF107" s="54"/>
      <c r="BG107" s="82">
        <f>'Dépenses BP 2017'!T110</f>
        <v>1892.4274365237027</v>
      </c>
      <c r="BH107" s="87">
        <f>'Dépenses BP 2017'!U110</f>
        <v>0.21026971516930029</v>
      </c>
      <c r="BI107" s="82"/>
      <c r="BJ107" s="205">
        <f t="shared" si="6"/>
        <v>0</v>
      </c>
      <c r="BK107" s="205"/>
    </row>
    <row r="108" spans="1:63">
      <c r="A108" s="1584" t="str">
        <f>'Dépenses BP 2017'!A111</f>
        <v>Déplacements divers (actions)</v>
      </c>
      <c r="B108" s="61">
        <f>F108</f>
        <v>0</v>
      </c>
      <c r="C108" s="94">
        <v>1</v>
      </c>
      <c r="D108" s="61"/>
      <c r="E108" s="94"/>
      <c r="F108" s="61">
        <f>'Dépenses BP 2017'!B111</f>
        <v>0</v>
      </c>
      <c r="G108" s="94">
        <f>'Dépenses BP 2017'!C111</f>
        <v>0</v>
      </c>
      <c r="H108" s="94"/>
      <c r="I108" s="61"/>
      <c r="J108" s="94"/>
      <c r="K108" s="61"/>
      <c r="L108" s="94"/>
      <c r="M108" s="61"/>
      <c r="N108" s="58"/>
      <c r="O108" s="69">
        <f>U108</f>
        <v>150</v>
      </c>
      <c r="P108" s="92">
        <v>1</v>
      </c>
      <c r="Q108" s="69"/>
      <c r="R108" s="92"/>
      <c r="S108" s="69"/>
      <c r="T108" s="92"/>
      <c r="U108" s="69">
        <f>'Dépenses BP 2017'!K111</f>
        <v>150</v>
      </c>
      <c r="V108" s="92">
        <f>'Dépenses BP 2017'!L111</f>
        <v>1</v>
      </c>
      <c r="W108" s="69"/>
      <c r="X108" s="54"/>
      <c r="Y108" s="74"/>
      <c r="Z108" s="90"/>
      <c r="AA108" s="74"/>
      <c r="AB108" s="90"/>
      <c r="AC108" s="74">
        <f>AQ108</f>
        <v>150</v>
      </c>
      <c r="AD108" s="90">
        <v>1</v>
      </c>
      <c r="AE108" s="128"/>
      <c r="AF108" s="128"/>
      <c r="AG108" s="74"/>
      <c r="AH108" s="90"/>
      <c r="AI108" s="74"/>
      <c r="AJ108" s="90"/>
      <c r="AK108" s="74"/>
      <c r="AL108" s="90"/>
      <c r="AM108" s="74"/>
      <c r="AN108" s="90"/>
      <c r="AO108" s="90"/>
      <c r="AP108" s="90"/>
      <c r="AQ108" s="74">
        <f>'Dépenses BP 2017'!N111</f>
        <v>150</v>
      </c>
      <c r="AR108" s="90">
        <f>'Dépenses BP 2017'!O111</f>
        <v>1</v>
      </c>
      <c r="AS108" s="133"/>
      <c r="AT108" s="54">
        <f t="shared" si="5"/>
        <v>0</v>
      </c>
      <c r="AU108" s="74"/>
      <c r="AV108" s="90"/>
      <c r="AW108" s="74"/>
      <c r="AX108" s="90"/>
      <c r="AY108" s="74">
        <f>'Dépenses BP 2017'!Q111</f>
        <v>0</v>
      </c>
      <c r="AZ108" s="90">
        <f>'Dépenses BP 2017'!R111</f>
        <v>0</v>
      </c>
      <c r="BA108" s="133"/>
      <c r="BB108" s="211"/>
      <c r="BC108" s="78"/>
      <c r="BD108" s="89"/>
      <c r="BE108" s="78"/>
      <c r="BF108" s="54"/>
      <c r="BG108" s="82">
        <f>'Dépenses BP 2017'!T111</f>
        <v>300</v>
      </c>
      <c r="BH108" s="87">
        <f>'Dépenses BP 2017'!U111</f>
        <v>1</v>
      </c>
      <c r="BI108" s="82"/>
      <c r="BJ108" s="205">
        <f t="shared" si="6"/>
        <v>0</v>
      </c>
      <c r="BK108" s="205"/>
    </row>
    <row r="109" spans="1:63">
      <c r="A109" s="1584" t="str">
        <f>'Dépenses BP 2017'!A112</f>
        <v>MEF - Mission Réception</v>
      </c>
      <c r="B109" s="61">
        <f>'Dépenses BP 2017'!BJ112*C109</f>
        <v>19.2879714466868</v>
      </c>
      <c r="C109" s="94">
        <f>$C$6/$BJ$6</f>
        <v>1.6073309538905668E-2</v>
      </c>
      <c r="D109" s="61">
        <f>'Dépenses BP 2017'!BJ112*E109</f>
        <v>0</v>
      </c>
      <c r="E109" s="94">
        <f>$E$6/$BJ$6</f>
        <v>0</v>
      </c>
      <c r="F109" s="61">
        <f>'Dépenses BP 2017'!B112</f>
        <v>19.2879714466868</v>
      </c>
      <c r="G109" s="94">
        <f>'Dépenses BP 2017'!C112</f>
        <v>1.6073309538905668E-2</v>
      </c>
      <c r="H109" s="94"/>
      <c r="I109" s="61">
        <f>'Dépenses BP 2017'!E112</f>
        <v>0</v>
      </c>
      <c r="J109" s="94">
        <f>'Dépenses BP 2017'!F112</f>
        <v>0</v>
      </c>
      <c r="K109" s="61">
        <f>'Dépenses BP 2017'!G112</f>
        <v>0</v>
      </c>
      <c r="L109" s="94">
        <f>'Dépenses BP 2017'!H112</f>
        <v>0</v>
      </c>
      <c r="M109" s="61"/>
      <c r="N109" s="58"/>
      <c r="O109" s="69">
        <f>'Dépenses BP 2017'!BJ112*P109</f>
        <v>38.463648892461983</v>
      </c>
      <c r="P109" s="92">
        <f>$P$6/$BJ$6</f>
        <v>3.2053040743718321E-2</v>
      </c>
      <c r="Q109" s="69">
        <f>'Dépenses BP 2017'!BJ112*R109</f>
        <v>6.0853161359509498</v>
      </c>
      <c r="R109" s="92">
        <f>$R$6/$BJ$6</f>
        <v>5.0710967799591248E-3</v>
      </c>
      <c r="S109" s="69">
        <f>'Dépenses BP 2017'!BJ112*T109</f>
        <v>3.6618174148273419</v>
      </c>
      <c r="T109" s="92">
        <f>$T$6/$BJ$6</f>
        <v>3.0515145123561184E-3</v>
      </c>
      <c r="U109" s="69">
        <f>'Dépenses BP 2017'!K112</f>
        <v>48.210782443240277</v>
      </c>
      <c r="V109" s="92">
        <f>'Dépenses BP 2017'!L112</f>
        <v>4.0175652036033564E-2</v>
      </c>
      <c r="W109" s="69"/>
      <c r="X109" s="54"/>
      <c r="Y109" s="74">
        <f>'Dépenses BP 2017'!BJ112*Z109</f>
        <v>0</v>
      </c>
      <c r="Z109" s="90">
        <f>$Z$6/$BJ$6</f>
        <v>0</v>
      </c>
      <c r="AA109" s="74">
        <f>'Dépenses BP 2017'!BJ112*AB109</f>
        <v>0</v>
      </c>
      <c r="AB109" s="90">
        <f>$AB$6/$BJ$6</f>
        <v>0</v>
      </c>
      <c r="AC109" s="74">
        <f>'Dépenses BP 2017'!BJ112*AD109</f>
        <v>49.473910248286948</v>
      </c>
      <c r="AD109" s="90">
        <f>$AD$6/$BJ$6</f>
        <v>4.1228258540239121E-2</v>
      </c>
      <c r="AE109" s="128"/>
      <c r="AF109" s="128"/>
      <c r="AG109" s="74">
        <f>'Dépenses BP 2017'!BJ112*AH109</f>
        <v>58.702521794264179</v>
      </c>
      <c r="AH109" s="90">
        <f>$AH$6/$BJ$6</f>
        <v>4.8918768161886818E-2</v>
      </c>
      <c r="AI109" s="74">
        <f>'Dépenses BP 2017'!BJ112*AJ109</f>
        <v>5.3365928903876529</v>
      </c>
      <c r="AJ109" s="90">
        <f>$AJ$6/$BJ$6</f>
        <v>4.4471607419897105E-3</v>
      </c>
      <c r="AK109" s="74">
        <f>'Dépenses BP 2017'!BJ112*AL109</f>
        <v>4.4732083977642514E-2</v>
      </c>
      <c r="AL109" s="90">
        <f>$AL$6/$BJ$6</f>
        <v>3.7276736648035431E-5</v>
      </c>
      <c r="AM109" s="74">
        <f>'Dépenses BP 2017'!BJ112*AN109</f>
        <v>8.08193321635183</v>
      </c>
      <c r="AN109" s="90">
        <f>$AN$6/$BJ$6</f>
        <v>6.7349443469598581E-3</v>
      </c>
      <c r="AO109" s="74">
        <f>'Dépenses BP 2017'!BJ112*AP109</f>
        <v>13.341482225969132</v>
      </c>
      <c r="AP109" s="342">
        <f>$AP$6/$BJ$6</f>
        <v>1.1117901854974277E-2</v>
      </c>
      <c r="AQ109" s="74">
        <f>'Dépenses BP 2017'!N112</f>
        <v>134.9811724592374</v>
      </c>
      <c r="AR109" s="90">
        <f>'Dépenses BP 2017'!O112</f>
        <v>0.11248431038269782</v>
      </c>
      <c r="AS109" s="133"/>
      <c r="AT109" s="54">
        <f t="shared" si="5"/>
        <v>0</v>
      </c>
      <c r="AU109" s="74">
        <f>'Dépenses BP 2017'!BJ112*AV109</f>
        <v>48.916498879062381</v>
      </c>
      <c r="AV109" s="342">
        <f>$AV$6/$BJ$6</f>
        <v>4.076374906588532E-2</v>
      </c>
      <c r="AW109" s="74">
        <f>'Dépenses BP 2017'!BJ112*AX109</f>
        <v>0.92723297493351498</v>
      </c>
      <c r="AX109" s="342">
        <f t="shared" ref="AX109" si="55">$AX$6/$BJ$6</f>
        <v>7.726941457779291E-4</v>
      </c>
      <c r="AY109" s="74">
        <f>'Dépenses BP 2017'!Q112</f>
        <v>49.843731853995905</v>
      </c>
      <c r="AZ109" s="90">
        <f>'Dépenses BP 2017'!R112</f>
        <v>4.1536443211663256E-2</v>
      </c>
      <c r="BA109" s="133"/>
      <c r="BB109" s="211"/>
      <c r="BC109" s="78">
        <f>'Dépenses BP 2017'!Q112</f>
        <v>49.843731853995905</v>
      </c>
      <c r="BD109" s="89">
        <f>'Dépenses BP 2017'!R112</f>
        <v>4.1536443211663256E-2</v>
      </c>
      <c r="BE109" s="78"/>
      <c r="BF109" s="54"/>
      <c r="BG109" s="82">
        <f>'Dépenses BP 2017'!T112</f>
        <v>252.32365820316039</v>
      </c>
      <c r="BH109" s="87">
        <f>'Dépenses BP 2017'!U112</f>
        <v>0.21026971516930029</v>
      </c>
      <c r="BI109" s="82"/>
      <c r="BJ109" s="205">
        <f t="shared" si="6"/>
        <v>0</v>
      </c>
      <c r="BK109" s="205"/>
    </row>
    <row r="110" spans="1:63">
      <c r="A110" s="1584" t="str">
        <f>'Dépenses BP 2017'!A113</f>
        <v>MDE  Mission - Réception</v>
      </c>
      <c r="B110" s="61">
        <f>'Dépenses BP 2017'!BJ113*C110</f>
        <v>114.66208668683539</v>
      </c>
      <c r="C110" s="94">
        <f>$C$6/$BI$6</f>
        <v>7.6441391124556932E-2</v>
      </c>
      <c r="D110" s="61">
        <f>'Dépenses BP 2017'!BJ113*E110</f>
        <v>0</v>
      </c>
      <c r="E110" s="94">
        <f>$E$6/$BI$6</f>
        <v>0</v>
      </c>
      <c r="F110" s="61">
        <f>'Dépenses BP 2017'!B113</f>
        <v>114.66208668683539</v>
      </c>
      <c r="G110" s="94">
        <f>'Dépenses BP 2017'!C113</f>
        <v>7.6441391124556932E-2</v>
      </c>
      <c r="H110" s="94"/>
      <c r="I110" s="61">
        <f>'Dépenses BP 2017'!E113</f>
        <v>0</v>
      </c>
      <c r="J110" s="94">
        <f>'Dépenses BP 2017'!F113</f>
        <v>0</v>
      </c>
      <c r="K110" s="61">
        <f>'Dépenses BP 2017'!G113</f>
        <v>114.66208668683539</v>
      </c>
      <c r="L110" s="94">
        <f>'Dépenses BP 2017'!H113</f>
        <v>7.6441391124556932E-2</v>
      </c>
      <c r="M110" s="61"/>
      <c r="N110" s="58"/>
      <c r="O110" s="69">
        <f>'Dépenses BP 2017'!BJ113*P110</f>
        <v>228.65661408665457</v>
      </c>
      <c r="P110" s="92">
        <f>$P$6/$BI$6</f>
        <v>0.15243774272443639</v>
      </c>
      <c r="Q110" s="69">
        <f>'Dépenses BP 2017'!BJ113*R110</f>
        <v>36.175657363753679</v>
      </c>
      <c r="R110" s="92">
        <f>$R$6/$BI$6</f>
        <v>2.4117104909169119E-2</v>
      </c>
      <c r="S110" s="69">
        <f>'Dépenses BP 2017'!BJ113*T110</f>
        <v>21.768573590584602</v>
      </c>
      <c r="T110" s="92">
        <f>$T$6/$BI$6</f>
        <v>1.4512382393723069E-2</v>
      </c>
      <c r="U110" s="69">
        <f>'Dépenses BP 2017'!K113</f>
        <v>286.60084504099291</v>
      </c>
      <c r="V110" s="92">
        <f>'Dépenses BP 2017'!L113</f>
        <v>0.19106723002732859</v>
      </c>
      <c r="W110" s="69"/>
      <c r="X110" s="54"/>
      <c r="Y110" s="74">
        <f>'Dépenses BP 2017'!BJ113*Z110</f>
        <v>0</v>
      </c>
      <c r="Z110" s="90">
        <f>$Z$6/$BI$6</f>
        <v>0</v>
      </c>
      <c r="AA110" s="74">
        <f>'Dépenses BP 2017'!T113*AB110</f>
        <v>0</v>
      </c>
      <c r="AB110" s="90">
        <f>$AB$6/$BI$6</f>
        <v>0</v>
      </c>
      <c r="AC110" s="74">
        <f>'Dépenses BP 2017'!T113*AD110</f>
        <v>294.10981871814391</v>
      </c>
      <c r="AD110" s="90">
        <f>$AD$6/$BI$6</f>
        <v>0.19607321247876261</v>
      </c>
      <c r="AE110" s="128"/>
      <c r="AF110" s="128"/>
      <c r="AG110" s="74">
        <f>'Dépenses BP 2017'!T113*AH110</f>
        <v>348.97156817732514</v>
      </c>
      <c r="AH110" s="90">
        <f>$AH$6/$BI$6</f>
        <v>0.23264771211821675</v>
      </c>
      <c r="AI110" s="74">
        <f>'Dépenses BP 2017'!T113*AJ110</f>
        <v>31.724688016120464</v>
      </c>
      <c r="AJ110" s="90">
        <f>$AJ$6/$BI$6</f>
        <v>2.1149792010746977E-2</v>
      </c>
      <c r="AK110" s="74">
        <f>'Dépenses BP 2017'!T113*AL110</f>
        <v>0.26592086704941159</v>
      </c>
      <c r="AL110" s="90">
        <f>$AL$6/$BI$6</f>
        <v>1.7728057803294105E-4</v>
      </c>
      <c r="AM110" s="74">
        <f>'Dépenses BP 2017'!T113*AN110</f>
        <v>48.045038308563583</v>
      </c>
      <c r="AN110" s="90">
        <f>$AN$6/$BI$6</f>
        <v>3.2030025539042391E-2</v>
      </c>
      <c r="AO110" s="74">
        <f>'Dépenses BP 2017'!T113*AP110</f>
        <v>79.311720040301168</v>
      </c>
      <c r="AP110" s="90">
        <f>$AP$6/$BI$6</f>
        <v>5.2874480026867447E-2</v>
      </c>
      <c r="AQ110" s="74">
        <f>'Dépenses BP 2017'!N113</f>
        <v>802.42875412750379</v>
      </c>
      <c r="AR110" s="90">
        <f>'Dépenses BP 2017'!O113</f>
        <v>0.53495250275166917</v>
      </c>
      <c r="AS110" s="133"/>
      <c r="AT110" s="54">
        <f t="shared" si="5"/>
        <v>0</v>
      </c>
      <c r="AU110" s="74">
        <f>'Dépenses BP 2017'!BJ113*AV110</f>
        <v>290.79614983829742</v>
      </c>
      <c r="AV110" s="90">
        <f>$AV$6/$BI$6</f>
        <v>0.1938640998921983</v>
      </c>
      <c r="AW110" s="74">
        <f>'Dépenses BP 2017'!BJ113*AX110</f>
        <v>5.5121643063704271</v>
      </c>
      <c r="AX110" s="90">
        <f>$AX$6/$BI$6</f>
        <v>3.6747762042469516E-3</v>
      </c>
      <c r="AY110" s="74">
        <f>'Dépenses BP 2017'!Q113</f>
        <v>296.30831414466792</v>
      </c>
      <c r="AZ110" s="90">
        <f>'Dépenses BP 2017'!R113</f>
        <v>0.19753887609644527</v>
      </c>
      <c r="BA110" s="133"/>
      <c r="BB110" s="211"/>
      <c r="BC110" s="78">
        <f>'Dépenses BP 2017'!Q113</f>
        <v>296.30831414466792</v>
      </c>
      <c r="BD110" s="89">
        <f>'Dépenses BP 2017'!R113</f>
        <v>0.19753887609644527</v>
      </c>
      <c r="BE110" s="78"/>
      <c r="BF110" s="54"/>
      <c r="BG110" s="82">
        <f>'Dépenses BP 2017'!T113</f>
        <v>1500</v>
      </c>
      <c r="BH110" s="87">
        <f>'Dépenses BP 2017'!U113</f>
        <v>0.99999999999999989</v>
      </c>
      <c r="BI110" s="82"/>
      <c r="BJ110" s="205">
        <f t="shared" si="6"/>
        <v>0</v>
      </c>
      <c r="BK110" s="205"/>
    </row>
    <row r="111" spans="1:63">
      <c r="A111" s="1584" t="str">
        <f>'Dépenses BP 2017'!A114</f>
        <v>ML Mission - Réception</v>
      </c>
      <c r="B111" s="61"/>
      <c r="C111" s="94"/>
      <c r="D111" s="61"/>
      <c r="E111" s="94"/>
      <c r="F111" s="61"/>
      <c r="G111" s="94"/>
      <c r="H111" s="94"/>
      <c r="I111" s="61"/>
      <c r="J111" s="94"/>
      <c r="K111" s="61"/>
      <c r="L111" s="94"/>
      <c r="M111" s="61"/>
      <c r="N111" s="58"/>
      <c r="O111" s="69"/>
      <c r="P111" s="92"/>
      <c r="Q111" s="69"/>
      <c r="R111" s="92"/>
      <c r="S111" s="69"/>
      <c r="T111" s="92"/>
      <c r="U111" s="69"/>
      <c r="V111" s="92"/>
      <c r="W111" s="69"/>
      <c r="X111" s="54"/>
      <c r="Y111" s="74"/>
      <c r="Z111" s="90"/>
      <c r="AA111" s="74"/>
      <c r="AB111" s="90"/>
      <c r="AC111" s="74"/>
      <c r="AD111" s="90"/>
      <c r="AE111" s="128"/>
      <c r="AF111" s="128"/>
      <c r="AG111" s="74"/>
      <c r="AH111" s="90"/>
      <c r="AI111" s="74"/>
      <c r="AJ111" s="90"/>
      <c r="AK111" s="74"/>
      <c r="AL111" s="90"/>
      <c r="AM111" s="74"/>
      <c r="AN111" s="90"/>
      <c r="AO111" s="90"/>
      <c r="AP111" s="90"/>
      <c r="AQ111" s="74"/>
      <c r="AR111" s="90"/>
      <c r="AS111" s="133"/>
      <c r="AT111" s="54">
        <f t="shared" si="5"/>
        <v>0</v>
      </c>
      <c r="AU111" s="74"/>
      <c r="AV111" s="90"/>
      <c r="AW111" s="74"/>
      <c r="AX111" s="90"/>
      <c r="AY111" s="74"/>
      <c r="AZ111" s="90"/>
      <c r="BA111" s="133"/>
      <c r="BB111" s="211"/>
      <c r="BC111" s="78"/>
      <c r="BD111" s="89"/>
      <c r="BE111" s="78"/>
      <c r="BF111" s="54"/>
      <c r="BG111" s="82"/>
      <c r="BH111" s="87"/>
      <c r="BI111" s="82"/>
      <c r="BJ111" s="205">
        <f t="shared" si="6"/>
        <v>0</v>
      </c>
      <c r="BK111" s="205"/>
    </row>
    <row r="112" spans="1:63">
      <c r="A112" s="1584" t="str">
        <f>'Dépenses BP 2017'!A115</f>
        <v>CBE - Mission Réception</v>
      </c>
      <c r="B112" s="61"/>
      <c r="C112" s="94"/>
      <c r="D112" s="61"/>
      <c r="E112" s="94"/>
      <c r="F112" s="61"/>
      <c r="G112" s="94"/>
      <c r="H112" s="94"/>
      <c r="I112" s="61"/>
      <c r="J112" s="94"/>
      <c r="K112" s="61"/>
      <c r="L112" s="94"/>
      <c r="M112" s="61"/>
      <c r="N112" s="58"/>
      <c r="O112" s="69"/>
      <c r="P112" s="92"/>
      <c r="Q112" s="69"/>
      <c r="R112" s="92"/>
      <c r="S112" s="69"/>
      <c r="T112" s="92"/>
      <c r="U112" s="69"/>
      <c r="V112" s="92"/>
      <c r="W112" s="69"/>
      <c r="X112" s="54"/>
      <c r="Y112" s="74"/>
      <c r="Z112" s="90"/>
      <c r="AA112" s="74"/>
      <c r="AB112" s="90"/>
      <c r="AC112" s="74"/>
      <c r="AD112" s="90"/>
      <c r="AE112" s="128"/>
      <c r="AF112" s="128"/>
      <c r="AG112" s="74"/>
      <c r="AH112" s="90"/>
      <c r="AI112" s="74"/>
      <c r="AJ112" s="90"/>
      <c r="AK112" s="74"/>
      <c r="AL112" s="90"/>
      <c r="AM112" s="74"/>
      <c r="AN112" s="90"/>
      <c r="AO112" s="90"/>
      <c r="AP112" s="90"/>
      <c r="AQ112" s="74"/>
      <c r="AR112" s="90"/>
      <c r="AS112" s="133"/>
      <c r="AT112" s="54">
        <f t="shared" si="5"/>
        <v>0</v>
      </c>
      <c r="AU112" s="74"/>
      <c r="AV112" s="90"/>
      <c r="AW112" s="74"/>
      <c r="AX112" s="90"/>
      <c r="AY112" s="74"/>
      <c r="AZ112" s="90"/>
      <c r="BA112" s="133"/>
      <c r="BB112" s="211"/>
      <c r="BC112" s="78"/>
      <c r="BD112" s="89"/>
      <c r="BE112" s="78"/>
      <c r="BF112" s="54"/>
      <c r="BG112" s="82"/>
      <c r="BH112" s="87"/>
      <c r="BI112" s="82"/>
      <c r="BJ112" s="205">
        <f t="shared" si="6"/>
        <v>0</v>
      </c>
      <c r="BK112" s="205"/>
    </row>
    <row r="113" spans="1:63">
      <c r="A113" s="1584" t="str">
        <f>'Dépenses BP 2017'!A116</f>
        <v>MDE - Réception gpe DRH</v>
      </c>
      <c r="B113" s="61">
        <f>'Dépenses BP 2017'!BJ116*C113</f>
        <v>150</v>
      </c>
      <c r="C113" s="94">
        <v>1</v>
      </c>
      <c r="D113" s="61"/>
      <c r="E113" s="94"/>
      <c r="F113" s="61">
        <f>'Dépenses BP 2017'!B116</f>
        <v>150</v>
      </c>
      <c r="G113" s="94">
        <v>1</v>
      </c>
      <c r="H113" s="94"/>
      <c r="I113" s="61"/>
      <c r="J113" s="94"/>
      <c r="K113" s="61"/>
      <c r="L113" s="94"/>
      <c r="M113" s="61"/>
      <c r="N113" s="58"/>
      <c r="O113" s="69"/>
      <c r="P113" s="92"/>
      <c r="Q113" s="69"/>
      <c r="R113" s="92"/>
      <c r="S113" s="69"/>
      <c r="T113" s="92"/>
      <c r="U113" s="69"/>
      <c r="V113" s="92"/>
      <c r="W113" s="69"/>
      <c r="X113" s="54"/>
      <c r="Y113" s="74"/>
      <c r="Z113" s="90"/>
      <c r="AA113" s="74"/>
      <c r="AB113" s="90"/>
      <c r="AC113" s="74"/>
      <c r="AD113" s="90"/>
      <c r="AE113" s="128"/>
      <c r="AF113" s="128"/>
      <c r="AG113" s="74"/>
      <c r="AH113" s="90"/>
      <c r="AI113" s="74"/>
      <c r="AJ113" s="90"/>
      <c r="AK113" s="74"/>
      <c r="AL113" s="90"/>
      <c r="AM113" s="74"/>
      <c r="AN113" s="90"/>
      <c r="AO113" s="90"/>
      <c r="AP113" s="90"/>
      <c r="AQ113" s="74">
        <f>'Dépenses BP 2017'!N116</f>
        <v>0</v>
      </c>
      <c r="AR113" s="90">
        <f>'Dépenses BP 2017'!O116</f>
        <v>0</v>
      </c>
      <c r="AS113" s="133"/>
      <c r="AT113" s="54">
        <f t="shared" si="5"/>
        <v>0</v>
      </c>
      <c r="AU113" s="74"/>
      <c r="AV113" s="90"/>
      <c r="AW113" s="74"/>
      <c r="AX113" s="90"/>
      <c r="AY113" s="74">
        <f>'Dépenses BP 2017'!Q116</f>
        <v>0</v>
      </c>
      <c r="AZ113" s="90">
        <f>'Dépenses BP 2017'!R116</f>
        <v>0</v>
      </c>
      <c r="BA113" s="133"/>
      <c r="BB113" s="211"/>
      <c r="BC113" s="78"/>
      <c r="BD113" s="89"/>
      <c r="BE113" s="78"/>
      <c r="BF113" s="54"/>
      <c r="BG113" s="82">
        <f>'Dépenses BP 2017'!T116</f>
        <v>150</v>
      </c>
      <c r="BH113" s="87">
        <f>'Dépenses BP 2017'!U116</f>
        <v>1</v>
      </c>
      <c r="BI113" s="82"/>
      <c r="BJ113" s="205">
        <f t="shared" si="6"/>
        <v>0</v>
      </c>
      <c r="BK113" s="205"/>
    </row>
    <row r="114" spans="1:63">
      <c r="A114" s="1584" t="str">
        <f>'Dépenses BP 2017'!A117</f>
        <v>Frais Postaux</v>
      </c>
      <c r="B114" s="61">
        <f>'Dépenses BP 2017'!BJ117*C114</f>
        <v>48.219928616717006</v>
      </c>
      <c r="C114" s="94">
        <f>$C$6/$BJ$6</f>
        <v>1.6073309538905668E-2</v>
      </c>
      <c r="D114" s="61">
        <f>'Dépenses BP 2017'!BJ117*E114</f>
        <v>0</v>
      </c>
      <c r="E114" s="94">
        <f>$E$6/$BJ$6</f>
        <v>0</v>
      </c>
      <c r="F114" s="61">
        <f>'Dépenses BP 2017'!B117</f>
        <v>48.219928616717006</v>
      </c>
      <c r="G114" s="94">
        <f>'Dépenses BP 2017'!C117</f>
        <v>1.6073309538905668E-2</v>
      </c>
      <c r="H114" s="94"/>
      <c r="I114" s="61">
        <f>'Dépenses BP 2017'!E117</f>
        <v>0</v>
      </c>
      <c r="J114" s="94">
        <f>'Dépenses BP 2017'!F117</f>
        <v>0</v>
      </c>
      <c r="K114" s="61">
        <f>'Dépenses BP 2017'!G117</f>
        <v>48.219928616717006</v>
      </c>
      <c r="L114" s="94">
        <f>'Dépenses BP 2017'!H117</f>
        <v>1.6073309538905668E-2</v>
      </c>
      <c r="M114" s="61"/>
      <c r="N114" s="58"/>
      <c r="O114" s="69">
        <f>'Dépenses BP 2017'!BJ117*P114</f>
        <v>96.159122231154967</v>
      </c>
      <c r="P114" s="92">
        <f>$P$6/$BJ$6</f>
        <v>3.2053040743718321E-2</v>
      </c>
      <c r="Q114" s="69">
        <f>'Dépenses BP 2017'!BJ117*R114</f>
        <v>15.213290339877375</v>
      </c>
      <c r="R114" s="92">
        <f>$R$6/$BJ$6</f>
        <v>5.0710967799591248E-3</v>
      </c>
      <c r="S114" s="69">
        <f>'Dépenses BP 2017'!BJ117*T114</f>
        <v>9.1545435370683546</v>
      </c>
      <c r="T114" s="92">
        <f>$T$6/$BJ$6</f>
        <v>3.0515145123561184E-3</v>
      </c>
      <c r="U114" s="69">
        <f>'Dépenses BP 2017'!K117</f>
        <v>120.52695610810069</v>
      </c>
      <c r="V114" s="92">
        <f>'Dépenses BP 2017'!L117</f>
        <v>4.0175652036033564E-2</v>
      </c>
      <c r="W114" s="69"/>
      <c r="X114" s="54"/>
      <c r="Y114" s="74">
        <f>'Dépenses BP 2017'!BJ117*Z114</f>
        <v>0</v>
      </c>
      <c r="Z114" s="90">
        <f>$Z$6/$BJ$6</f>
        <v>0</v>
      </c>
      <c r="AA114" s="74">
        <f>'Dépenses BP 2017'!BJ117*AB114</f>
        <v>0</v>
      </c>
      <c r="AB114" s="90">
        <f>$AB$6/$BJ$6</f>
        <v>0</v>
      </c>
      <c r="AC114" s="74">
        <f>'Dépenses BP 2017'!BJ117*AD114</f>
        <v>123.68477562071736</v>
      </c>
      <c r="AD114" s="90">
        <f>$AD$6/$BJ$6</f>
        <v>4.1228258540239121E-2</v>
      </c>
      <c r="AE114" s="128"/>
      <c r="AF114" s="128"/>
      <c r="AG114" s="74">
        <f>'Dépenses BP 2017'!BJ117*AH114</f>
        <v>146.75630448566045</v>
      </c>
      <c r="AH114" s="90">
        <f>$AH$6/$BJ$6</f>
        <v>4.8918768161886818E-2</v>
      </c>
      <c r="AI114" s="74">
        <f>'Dépenses BP 2017'!BJ117*AJ114</f>
        <v>13.341482225969131</v>
      </c>
      <c r="AJ114" s="90">
        <f>$AJ$6/$BJ$6</f>
        <v>4.4471607419897105E-3</v>
      </c>
      <c r="AK114" s="74">
        <f>'Dépenses BP 2017'!BJ117*AL114</f>
        <v>0.11183020994410629</v>
      </c>
      <c r="AL114" s="90">
        <f>$AL$6/$BJ$6</f>
        <v>3.7276736648035431E-5</v>
      </c>
      <c r="AM114" s="74">
        <f>'Dépenses BP 2017'!BJ117*AN114</f>
        <v>20.204833040879574</v>
      </c>
      <c r="AN114" s="90">
        <f>$AN$6/$BJ$6</f>
        <v>6.7349443469598581E-3</v>
      </c>
      <c r="AO114" s="74">
        <f>'Dépenses BP 2017'!BJ117*AP114</f>
        <v>33.353705564922826</v>
      </c>
      <c r="AP114" s="342">
        <f>$AP$6/$BJ$6</f>
        <v>1.1117901854974277E-2</v>
      </c>
      <c r="AQ114" s="74">
        <f>'Dépenses BP 2017'!N117</f>
        <v>337.45293114809346</v>
      </c>
      <c r="AR114" s="90">
        <f>'Dépenses BP 2017'!O117</f>
        <v>0.11248431038269782</v>
      </c>
      <c r="AS114" s="133"/>
      <c r="AT114" s="54">
        <f t="shared" si="5"/>
        <v>0</v>
      </c>
      <c r="AU114" s="74">
        <f>'Dépenses BP 2017'!BJ117*AV114</f>
        <v>122.29124719765596</v>
      </c>
      <c r="AV114" s="342">
        <f>$AV$6/$BJ$6</f>
        <v>4.076374906588532E-2</v>
      </c>
      <c r="AW114" s="74">
        <f>'Dépenses BP 2017'!BJ117*AX114</f>
        <v>2.3180824373337874</v>
      </c>
      <c r="AX114" s="342">
        <f t="shared" ref="AX114:AX118" si="56">$AX$6/$BJ$6</f>
        <v>7.726941457779291E-4</v>
      </c>
      <c r="AY114" s="74">
        <f>'Dépenses BP 2017'!Q117</f>
        <v>124.60932963498976</v>
      </c>
      <c r="AZ114" s="90">
        <f>'Dépenses BP 2017'!R117</f>
        <v>4.1536443211663256E-2</v>
      </c>
      <c r="BA114" s="133"/>
      <c r="BB114" s="211"/>
      <c r="BC114" s="78">
        <f>'Dépenses BP 2017'!Q117</f>
        <v>124.60932963498976</v>
      </c>
      <c r="BD114" s="89">
        <f>'Dépenses BP 2017'!R117</f>
        <v>4.1536443211663256E-2</v>
      </c>
      <c r="BE114" s="78"/>
      <c r="BF114" s="54"/>
      <c r="BG114" s="82">
        <f>'Dépenses BP 2017'!T117</f>
        <v>630.80914550790089</v>
      </c>
      <c r="BH114" s="87">
        <f>'Dépenses BP 2017'!U117</f>
        <v>0.21026971516930029</v>
      </c>
      <c r="BI114" s="82"/>
      <c r="BJ114" s="205">
        <f t="shared" si="6"/>
        <v>0</v>
      </c>
      <c r="BK114" s="205"/>
    </row>
    <row r="115" spans="1:63">
      <c r="A115" s="1584" t="str">
        <f>'Dépenses BP 2017'!A118</f>
        <v xml:space="preserve">Frais de télécommunication </v>
      </c>
      <c r="B115" s="61">
        <f>'Dépenses BP 2017'!BJ118*C115</f>
        <v>88.403202463981174</v>
      </c>
      <c r="C115" s="94">
        <f>$C$6/$BJ$6</f>
        <v>1.6073309538905668E-2</v>
      </c>
      <c r="D115" s="61">
        <f>'Dépenses BP 2017'!BJ118*E115</f>
        <v>0</v>
      </c>
      <c r="E115" s="94">
        <f>$E$6/$BJ$6</f>
        <v>0</v>
      </c>
      <c r="F115" s="61">
        <f>'Dépenses BP 2017'!B118</f>
        <v>88.403202463981174</v>
      </c>
      <c r="G115" s="94">
        <f>'Dépenses BP 2017'!C118</f>
        <v>1.6073309538905668E-2</v>
      </c>
      <c r="H115" s="94"/>
      <c r="I115" s="61">
        <f>'Dépenses BP 2017'!E118</f>
        <v>0</v>
      </c>
      <c r="J115" s="94">
        <f>'Dépenses BP 2017'!F118</f>
        <v>0</v>
      </c>
      <c r="K115" s="61">
        <f>'Dépenses BP 2017'!G118</f>
        <v>88.403202463981174</v>
      </c>
      <c r="L115" s="94">
        <f>'Dépenses BP 2017'!H118</f>
        <v>1.6073309538905668E-2</v>
      </c>
      <c r="M115" s="61"/>
      <c r="N115" s="58"/>
      <c r="O115" s="69">
        <f>'Dépenses BP 2017'!BJ118*P115</f>
        <v>176.29172409045077</v>
      </c>
      <c r="P115" s="92">
        <f>$P$6/$BJ$6</f>
        <v>3.2053040743718321E-2</v>
      </c>
      <c r="Q115" s="69">
        <f>'Dépenses BP 2017'!BJ118*R115</f>
        <v>27.891032289775186</v>
      </c>
      <c r="R115" s="92">
        <f>$R$6/$BJ$6</f>
        <v>5.0710967799591248E-3</v>
      </c>
      <c r="S115" s="69">
        <f>'Dépenses BP 2017'!BJ118*T115</f>
        <v>16.783329817958652</v>
      </c>
      <c r="T115" s="92">
        <f>$T$6/$BJ$6</f>
        <v>3.0515145123561184E-3</v>
      </c>
      <c r="U115" s="69">
        <f>'Dépenses BP 2017'!K118</f>
        <v>220.9660861981846</v>
      </c>
      <c r="V115" s="92">
        <f>'Dépenses BP 2017'!L118</f>
        <v>4.0175652036033564E-2</v>
      </c>
      <c r="W115" s="69"/>
      <c r="X115" s="54"/>
      <c r="Y115" s="74">
        <f>'Dépenses BP 2017'!BJ118*Z115</f>
        <v>0</v>
      </c>
      <c r="Z115" s="90">
        <f>$Z$6/$BJ$6</f>
        <v>0</v>
      </c>
      <c r="AA115" s="74">
        <f>'Dépenses BP 2017'!BJ118*AB115</f>
        <v>0</v>
      </c>
      <c r="AB115" s="90">
        <f>$AB$6/$BJ$6</f>
        <v>0</v>
      </c>
      <c r="AC115" s="74">
        <f>'Dépenses BP 2017'!BJ118*AD115</f>
        <v>226.75542197131517</v>
      </c>
      <c r="AD115" s="90">
        <f>$AD$6/$BJ$6</f>
        <v>4.1228258540239121E-2</v>
      </c>
      <c r="AE115" s="128"/>
      <c r="AF115" s="128"/>
      <c r="AG115" s="74">
        <f>'Dépenses BP 2017'!BJ118*AH115</f>
        <v>269.05322489037752</v>
      </c>
      <c r="AH115" s="90">
        <f>$AH$6/$BJ$6</f>
        <v>4.8918768161886818E-2</v>
      </c>
      <c r="AI115" s="74">
        <f>'Dépenses BP 2017'!BJ118*AJ115</f>
        <v>24.459384080943408</v>
      </c>
      <c r="AJ115" s="90">
        <f>$AJ$6/$BJ$6</f>
        <v>4.4471607419897105E-3</v>
      </c>
      <c r="AK115" s="74">
        <f>'Dépenses BP 2017'!BJ118*AL115</f>
        <v>0.20502205156419487</v>
      </c>
      <c r="AL115" s="90">
        <f>$AL$6/$BJ$6</f>
        <v>3.7276736648035431E-5</v>
      </c>
      <c r="AM115" s="74">
        <f>'Dépenses BP 2017'!BJ118*AN115</f>
        <v>37.042193908279216</v>
      </c>
      <c r="AN115" s="90">
        <f>$AN$6/$BJ$6</f>
        <v>6.7349443469598581E-3</v>
      </c>
      <c r="AO115" s="74">
        <f>'Dépenses BP 2017'!BJ118*AP115</f>
        <v>61.148460202358521</v>
      </c>
      <c r="AP115" s="342">
        <f>$AP$6/$BJ$6</f>
        <v>1.1117901854974277E-2</v>
      </c>
      <c r="AQ115" s="74">
        <f>'Dépenses BP 2017'!N118</f>
        <v>618.66370710483807</v>
      </c>
      <c r="AR115" s="90">
        <f>'Dépenses BP 2017'!O118</f>
        <v>0.11248431038269782</v>
      </c>
      <c r="AS115" s="133"/>
      <c r="AT115" s="54">
        <f t="shared" si="5"/>
        <v>0</v>
      </c>
      <c r="AU115" s="74">
        <f>'Dépenses BP 2017'!BJ118*AV115</f>
        <v>224.20061986236925</v>
      </c>
      <c r="AV115" s="342">
        <f>$AV$6/$BJ$6</f>
        <v>4.076374906588532E-2</v>
      </c>
      <c r="AW115" s="74">
        <f>'Dépenses BP 2017'!BJ118*AX115</f>
        <v>4.2498178017786099</v>
      </c>
      <c r="AX115" s="342">
        <f t="shared" si="56"/>
        <v>7.726941457779291E-4</v>
      </c>
      <c r="AY115" s="74">
        <f>'Dépenses BP 2017'!Q118</f>
        <v>228.4504376641479</v>
      </c>
      <c r="AZ115" s="90">
        <f>'Dépenses BP 2017'!R118</f>
        <v>4.1536443211663256E-2</v>
      </c>
      <c r="BA115" s="133"/>
      <c r="BB115" s="211"/>
      <c r="BC115" s="78">
        <f>'Dépenses BP 2017'!Q118</f>
        <v>228.4504376641479</v>
      </c>
      <c r="BD115" s="89">
        <f>'Dépenses BP 2017'!R118</f>
        <v>4.1536443211663256E-2</v>
      </c>
      <c r="BE115" s="78"/>
      <c r="BF115" s="54"/>
      <c r="BG115" s="82">
        <f>'Dépenses BP 2017'!T118</f>
        <v>1156.4834334311518</v>
      </c>
      <c r="BH115" s="87">
        <f>'Dépenses BP 2017'!U118</f>
        <v>0.21026971516930029</v>
      </c>
      <c r="BI115" s="82"/>
      <c r="BJ115" s="205">
        <f t="shared" si="6"/>
        <v>0</v>
      </c>
      <c r="BK115" s="205"/>
    </row>
    <row r="116" spans="1:63">
      <c r="A116" s="1584" t="str">
        <f>'Dépenses BP 2017'!A119</f>
        <v>Téléphone portable</v>
      </c>
      <c r="B116" s="61">
        <f>'Dépenses BP 2017'!BJ119*C116</f>
        <v>6.4293238155622667</v>
      </c>
      <c r="C116" s="94">
        <f>$C$6/$BJ$6</f>
        <v>1.6073309538905668E-2</v>
      </c>
      <c r="D116" s="61">
        <f>'Dépenses BP 2017'!BJ119*E116</f>
        <v>0</v>
      </c>
      <c r="E116" s="94">
        <f>$E$6/$BJ$6</f>
        <v>0</v>
      </c>
      <c r="F116" s="61">
        <f>'Dépenses BP 2017'!B119</f>
        <v>6.4293238155622667</v>
      </c>
      <c r="G116" s="94">
        <f>'Dépenses BP 2017'!C119</f>
        <v>1.6073309538905668E-2</v>
      </c>
      <c r="H116" s="94"/>
      <c r="I116" s="61">
        <f>'Dépenses BP 2017'!E119</f>
        <v>0</v>
      </c>
      <c r="J116" s="94">
        <f>'Dépenses BP 2017'!F119</f>
        <v>0</v>
      </c>
      <c r="K116" s="61">
        <f>'Dépenses BP 2017'!G119</f>
        <v>0</v>
      </c>
      <c r="L116" s="94">
        <f>'Dépenses BP 2017'!H119</f>
        <v>0</v>
      </c>
      <c r="M116" s="61"/>
      <c r="N116" s="58"/>
      <c r="O116" s="69">
        <f>'Dépenses BP 2017'!BJ119*P116</f>
        <v>12.821216297487329</v>
      </c>
      <c r="P116" s="92">
        <f>$P$6/$BJ$6</f>
        <v>3.2053040743718321E-2</v>
      </c>
      <c r="Q116" s="69">
        <f>'Dépenses BP 2017'!BJ119*R116</f>
        <v>2.0284387119836498</v>
      </c>
      <c r="R116" s="92">
        <f>$R$6/$BJ$6</f>
        <v>5.0710967799591248E-3</v>
      </c>
      <c r="S116" s="69">
        <f>'Dépenses BP 2017'!BJ119*T116</f>
        <v>1.2206058049424473</v>
      </c>
      <c r="T116" s="92">
        <f>$T$6/$BJ$6</f>
        <v>3.0515145123561184E-3</v>
      </c>
      <c r="U116" s="69">
        <f>'Dépenses BP 2017'!K119</f>
        <v>16.070260814413427</v>
      </c>
      <c r="V116" s="92">
        <f>'Dépenses BP 2017'!L119</f>
        <v>4.0175652036033564E-2</v>
      </c>
      <c r="W116" s="69"/>
      <c r="X116" s="54"/>
      <c r="Y116" s="74">
        <f>'Dépenses BP 2017'!BJ119*Z116</f>
        <v>0</v>
      </c>
      <c r="Z116" s="90">
        <f>$Z$6/$BJ$6</f>
        <v>0</v>
      </c>
      <c r="AA116" s="74">
        <f>'Dépenses BP 2017'!BJ119*AB116</f>
        <v>0</v>
      </c>
      <c r="AB116" s="90">
        <f>$AB$6/$BJ$6</f>
        <v>0</v>
      </c>
      <c r="AC116" s="74">
        <f>'Dépenses BP 2017'!BJ119*AD116</f>
        <v>16.491303416095647</v>
      </c>
      <c r="AD116" s="90">
        <f>$AD$6/$BJ$6</f>
        <v>4.1228258540239121E-2</v>
      </c>
      <c r="AE116" s="128"/>
      <c r="AF116" s="128"/>
      <c r="AG116" s="74">
        <f>'Dépenses BP 2017'!BJ119*AH116</f>
        <v>19.567507264754727</v>
      </c>
      <c r="AH116" s="90">
        <f>$AH$6/$BJ$6</f>
        <v>4.8918768161886818E-2</v>
      </c>
      <c r="AI116" s="74">
        <f>'Dépenses BP 2017'!BJ119*AJ116</f>
        <v>1.7788642967958841</v>
      </c>
      <c r="AJ116" s="90">
        <f>$AJ$6/$BJ$6</f>
        <v>4.4471607419897105E-3</v>
      </c>
      <c r="AK116" s="74">
        <f>'Dépenses BP 2017'!BJ119*AL116</f>
        <v>1.4910694659214173E-2</v>
      </c>
      <c r="AL116" s="90">
        <f>$AL$6/$BJ$6</f>
        <v>3.7276736648035431E-5</v>
      </c>
      <c r="AM116" s="74">
        <f>'Dépenses BP 2017'!BJ119*AN116</f>
        <v>2.6939777387839432</v>
      </c>
      <c r="AN116" s="90">
        <f>$AN$6/$BJ$6</f>
        <v>6.7349443469598581E-3</v>
      </c>
      <c r="AO116" s="74">
        <f>'Dépenses BP 2017'!BJ119*AP116</f>
        <v>4.4471607419897108</v>
      </c>
      <c r="AP116" s="342">
        <f>$AP$6/$BJ$6</f>
        <v>1.1117901854974277E-2</v>
      </c>
      <c r="AQ116" s="74">
        <f>'Dépenses BP 2017'!N119</f>
        <v>44.993724153079128</v>
      </c>
      <c r="AR116" s="90">
        <f>'Dépenses BP 2017'!O119</f>
        <v>0.11248431038269782</v>
      </c>
      <c r="AS116" s="133"/>
      <c r="AT116" s="54">
        <f t="shared" si="5"/>
        <v>0</v>
      </c>
      <c r="AU116" s="74">
        <f>'Dépenses BP 2017'!BJ119*AV116</f>
        <v>16.305499626354127</v>
      </c>
      <c r="AV116" s="342">
        <f>$AV$6/$BJ$6</f>
        <v>4.076374906588532E-2</v>
      </c>
      <c r="AW116" s="74">
        <f>'Dépenses BP 2017'!BJ119*AX116</f>
        <v>0.30907765831117162</v>
      </c>
      <c r="AX116" s="342">
        <f t="shared" si="56"/>
        <v>7.726941457779291E-4</v>
      </c>
      <c r="AY116" s="74">
        <f>'Dépenses BP 2017'!Q119</f>
        <v>16.614577284665302</v>
      </c>
      <c r="AZ116" s="90">
        <f>'Dépenses BP 2017'!R119</f>
        <v>4.1536443211663256E-2</v>
      </c>
      <c r="BA116" s="133"/>
      <c r="BB116" s="211"/>
      <c r="BC116" s="78">
        <f>'Dépenses BP 2017'!Q119</f>
        <v>16.614577284665302</v>
      </c>
      <c r="BD116" s="89">
        <f>'Dépenses BP 2017'!R119</f>
        <v>4.1536443211663256E-2</v>
      </c>
      <c r="BE116" s="78"/>
      <c r="BF116" s="54"/>
      <c r="BG116" s="82">
        <f>'Dépenses BP 2017'!T119</f>
        <v>84.107886067720131</v>
      </c>
      <c r="BH116" s="87">
        <f>'Dépenses BP 2017'!U119</f>
        <v>0.21026971516930029</v>
      </c>
      <c r="BI116" s="82"/>
      <c r="BJ116" s="205">
        <f t="shared" si="6"/>
        <v>0</v>
      </c>
      <c r="BK116" s="205"/>
    </row>
    <row r="117" spans="1:63">
      <c r="A117" s="1584" t="str">
        <f>'Dépenses BP 2017'!A120</f>
        <v>Services bancaires</v>
      </c>
      <c r="B117" s="61">
        <f>'Dépenses BP 2017'!BJ120*C117</f>
        <v>3.9861807656486055</v>
      </c>
      <c r="C117" s="94">
        <f>$C$6/$BJ$6</f>
        <v>1.6073309538905668E-2</v>
      </c>
      <c r="D117" s="61">
        <f>'Dépenses BP 2017'!BJ120*E117</f>
        <v>0</v>
      </c>
      <c r="E117" s="94">
        <f>$E$6/$BJ$6</f>
        <v>0</v>
      </c>
      <c r="F117" s="61">
        <f>'Dépenses BP 2017'!B120</f>
        <v>3.9861807656486055</v>
      </c>
      <c r="G117" s="94">
        <f>'Dépenses BP 2017'!C120</f>
        <v>1.6073309538905668E-2</v>
      </c>
      <c r="H117" s="94"/>
      <c r="I117" s="61">
        <f>'Dépenses BP 2017'!E120</f>
        <v>0</v>
      </c>
      <c r="J117" s="94">
        <f>'Dépenses BP 2017'!F120</f>
        <v>0</v>
      </c>
      <c r="K117" s="61">
        <f>'Dépenses BP 2017'!G120</f>
        <v>3.9861807656486055</v>
      </c>
      <c r="L117" s="94">
        <f>'Dépenses BP 2017'!H120</f>
        <v>1.6073309538905668E-2</v>
      </c>
      <c r="M117" s="61"/>
      <c r="N117" s="58"/>
      <c r="O117" s="69">
        <f>'Dépenses BP 2017'!BJ120*P117</f>
        <v>7.9491541044421439</v>
      </c>
      <c r="P117" s="92">
        <f>$P$6/$BJ$6</f>
        <v>3.2053040743718321E-2</v>
      </c>
      <c r="Q117" s="69">
        <f>'Dépenses BP 2017'!BJ120*R117</f>
        <v>1.257632001429863</v>
      </c>
      <c r="R117" s="92">
        <f>$R$6/$BJ$6</f>
        <v>5.0710967799591248E-3</v>
      </c>
      <c r="S117" s="69">
        <f>'Dépenses BP 2017'!BJ120*T117</f>
        <v>0.75677559906431735</v>
      </c>
      <c r="T117" s="92">
        <f>$T$6/$BJ$6</f>
        <v>3.0515145123561184E-3</v>
      </c>
      <c r="U117" s="69">
        <f>'Dépenses BP 2017'!K120</f>
        <v>9.9635617049363248</v>
      </c>
      <c r="V117" s="92">
        <f>'Dépenses BP 2017'!L120</f>
        <v>4.0175652036033564E-2</v>
      </c>
      <c r="W117" s="69"/>
      <c r="X117" s="54"/>
      <c r="Y117" s="74">
        <f>'Dépenses BP 2017'!BJ120*Z117</f>
        <v>0</v>
      </c>
      <c r="Z117" s="90">
        <f>$Z$6/$BJ$6</f>
        <v>0</v>
      </c>
      <c r="AA117" s="74">
        <f>'Dépenses BP 2017'!BJ120*AB117</f>
        <v>0</v>
      </c>
      <c r="AB117" s="90">
        <f>$AB$6/$BJ$6</f>
        <v>0</v>
      </c>
      <c r="AC117" s="74">
        <f>'Dépenses BP 2017'!BJ120*AD117</f>
        <v>10.224608117979303</v>
      </c>
      <c r="AD117" s="90">
        <f>$AD$6/$BJ$6</f>
        <v>4.1228258540239121E-2</v>
      </c>
      <c r="AE117" s="128"/>
      <c r="AF117" s="128"/>
      <c r="AG117" s="74">
        <f>'Dépenses BP 2017'!BJ120*AH117</f>
        <v>12.131854504147931</v>
      </c>
      <c r="AH117" s="90">
        <f>$AH$6/$BJ$6</f>
        <v>4.8918768161886818E-2</v>
      </c>
      <c r="AI117" s="74">
        <f>'Dépenses BP 2017'!BJ120*AJ117</f>
        <v>1.1028958640134483</v>
      </c>
      <c r="AJ117" s="90">
        <f>$AJ$6/$BJ$6</f>
        <v>4.4471607419897105E-3</v>
      </c>
      <c r="AK117" s="74">
        <f>'Dépenses BP 2017'!BJ120*AL117</f>
        <v>9.2446306887127867E-3</v>
      </c>
      <c r="AL117" s="90">
        <f>$AL$6/$BJ$6</f>
        <v>3.7276736648035431E-5</v>
      </c>
      <c r="AM117" s="74">
        <f>'Dépenses BP 2017'!BJ120*AN117</f>
        <v>1.6702661980460447</v>
      </c>
      <c r="AN117" s="90">
        <f>$AN$6/$BJ$6</f>
        <v>6.7349443469598581E-3</v>
      </c>
      <c r="AO117" s="74">
        <f>'Dépenses BP 2017'!BJ120*AP117</f>
        <v>2.7572396600336204</v>
      </c>
      <c r="AP117" s="342">
        <f>$AP$6/$BJ$6</f>
        <v>1.1117901854974277E-2</v>
      </c>
      <c r="AQ117" s="74">
        <f>'Dépenses BP 2017'!N120</f>
        <v>27.896108974909058</v>
      </c>
      <c r="AR117" s="90">
        <f>'Dépenses BP 2017'!O120</f>
        <v>0.11248431038269782</v>
      </c>
      <c r="AS117" s="133"/>
      <c r="AT117" s="54">
        <f t="shared" si="5"/>
        <v>0</v>
      </c>
      <c r="AU117" s="74">
        <f>'Dépenses BP 2017'!BJ120*AV117</f>
        <v>10.109409768339559</v>
      </c>
      <c r="AV117" s="342">
        <f>$AV$6/$BJ$6</f>
        <v>4.076374906588532E-2</v>
      </c>
      <c r="AW117" s="74">
        <f>'Dépenses BP 2017'!BJ120*AX117</f>
        <v>0.19162814815292642</v>
      </c>
      <c r="AX117" s="342">
        <f t="shared" si="56"/>
        <v>7.726941457779291E-4</v>
      </c>
      <c r="AY117" s="74">
        <f>'Dépenses BP 2017'!Q120</f>
        <v>10.301037916492488</v>
      </c>
      <c r="AZ117" s="90">
        <f>'Dépenses BP 2017'!R120</f>
        <v>4.1536443211663256E-2</v>
      </c>
      <c r="BA117" s="133"/>
      <c r="BB117" s="211"/>
      <c r="BC117" s="78">
        <f>'Dépenses BP 2017'!Q120</f>
        <v>10.301037916492488</v>
      </c>
      <c r="BD117" s="89">
        <f>'Dépenses BP 2017'!R120</f>
        <v>4.1536443211663256E-2</v>
      </c>
      <c r="BE117" s="78"/>
      <c r="BF117" s="54"/>
      <c r="BG117" s="82">
        <f>'Dépenses BP 2017'!T120</f>
        <v>52.146889361986482</v>
      </c>
      <c r="BH117" s="87">
        <f>'Dépenses BP 2017'!U120</f>
        <v>0.21026971516930029</v>
      </c>
      <c r="BI117" s="82"/>
      <c r="BJ117" s="205">
        <f t="shared" si="6"/>
        <v>0</v>
      </c>
      <c r="BK117" s="205"/>
    </row>
    <row r="118" spans="1:63">
      <c r="A118" s="1584" t="str">
        <f>'Dépenses BP 2017'!A121</f>
        <v>MEF Cotisations diverses</v>
      </c>
      <c r="B118" s="61">
        <f>'Dépenses BP 2017'!BJ121*C118</f>
        <v>2.2502633354467934</v>
      </c>
      <c r="C118" s="94">
        <f>$C$6/$BJ$6</f>
        <v>1.6073309538905668E-2</v>
      </c>
      <c r="D118" s="61">
        <f>'Dépenses BP 2017'!BJ121*E118</f>
        <v>0</v>
      </c>
      <c r="E118" s="94">
        <f>$E$6/$BJ$6</f>
        <v>0</v>
      </c>
      <c r="F118" s="61">
        <f>'Dépenses BP 2017'!B121</f>
        <v>2.2502633354467934</v>
      </c>
      <c r="G118" s="94">
        <f>'Dépenses BP 2017'!C121</f>
        <v>1.6073309538905668E-2</v>
      </c>
      <c r="H118" s="94"/>
      <c r="I118" s="61">
        <f>'Dépenses BP 2017'!E121</f>
        <v>0</v>
      </c>
      <c r="J118" s="94">
        <f>'Dépenses BP 2017'!F121</f>
        <v>0</v>
      </c>
      <c r="K118" s="61">
        <f>'Dépenses BP 2017'!G121</f>
        <v>2.2502633354467934</v>
      </c>
      <c r="L118" s="94">
        <f>'Dépenses BP 2017'!H121</f>
        <v>1.6073309538905668E-2</v>
      </c>
      <c r="M118" s="61"/>
      <c r="N118" s="58"/>
      <c r="O118" s="69">
        <f>'Dépenses BP 2017'!BJ121*P118</f>
        <v>4.4874257041205645</v>
      </c>
      <c r="P118" s="92">
        <f>$P$6/$BJ$6</f>
        <v>3.2053040743718321E-2</v>
      </c>
      <c r="Q118" s="69">
        <f>'Dépenses BP 2017'!BJ121*R118</f>
        <v>0.70995354919427744</v>
      </c>
      <c r="R118" s="92">
        <f>$R$6/$BJ$6</f>
        <v>5.0710967799591248E-3</v>
      </c>
      <c r="S118" s="69">
        <f>'Dépenses BP 2017'!BJ121*T118</f>
        <v>0.42721203172985656</v>
      </c>
      <c r="T118" s="92">
        <f>$T$6/$BJ$6</f>
        <v>3.0515145123561184E-3</v>
      </c>
      <c r="U118" s="69">
        <f>'Dépenses BP 2017'!K121</f>
        <v>5.6245912850446986</v>
      </c>
      <c r="V118" s="92">
        <f>'Dépenses BP 2017'!L121</f>
        <v>4.0175652036033564E-2</v>
      </c>
      <c r="W118" s="69"/>
      <c r="X118" s="54"/>
      <c r="Y118" s="74">
        <f>'Dépenses BP 2017'!BJ121*Z118</f>
        <v>0</v>
      </c>
      <c r="Z118" s="90">
        <f>$Z$6/$BJ$6</f>
        <v>0</v>
      </c>
      <c r="AA118" s="74">
        <f>'Dépenses BP 2017'!BJ121*AB118</f>
        <v>0</v>
      </c>
      <c r="AB118" s="90">
        <f>$AB$6/$BJ$6</f>
        <v>0</v>
      </c>
      <c r="AC118" s="74">
        <f>'Dépenses BP 2017'!BJ121*AD118</f>
        <v>5.7719561956334768</v>
      </c>
      <c r="AD118" s="90">
        <f>$AD$6/$BJ$6</f>
        <v>4.1228258540239121E-2</v>
      </c>
      <c r="AE118" s="128"/>
      <c r="AF118" s="128"/>
      <c r="AG118" s="74">
        <f>'Dépenses BP 2017'!BJ121*AH118</f>
        <v>6.8486275426641541</v>
      </c>
      <c r="AH118" s="90">
        <f>$AH$6/$BJ$6</f>
        <v>4.8918768161886818E-2</v>
      </c>
      <c r="AI118" s="74">
        <f>'Dépenses BP 2017'!BJ121*AJ118</f>
        <v>0.62260250387855942</v>
      </c>
      <c r="AJ118" s="90">
        <f>$AJ$6/$BJ$6</f>
        <v>4.4471607419897105E-3</v>
      </c>
      <c r="AK118" s="74">
        <f>'Dépenses BP 2017'!BJ121*AL118</f>
        <v>5.21874313072496E-3</v>
      </c>
      <c r="AL118" s="90">
        <f>$AL$6/$BJ$6</f>
        <v>3.7276736648035431E-5</v>
      </c>
      <c r="AM118" s="74">
        <f>'Dépenses BP 2017'!BJ121*AN118</f>
        <v>0.94289220857438016</v>
      </c>
      <c r="AN118" s="90">
        <f>$AN$6/$BJ$6</f>
        <v>6.7349443469598581E-3</v>
      </c>
      <c r="AO118" s="74">
        <f>'Dépenses BP 2017'!BJ121*AP118</f>
        <v>1.5565062596963988</v>
      </c>
      <c r="AP118" s="342">
        <f>$AP$6/$BJ$6</f>
        <v>1.1117901854974277E-2</v>
      </c>
      <c r="AQ118" s="74">
        <f>'Dépenses BP 2017'!N121</f>
        <v>15.747803453577696</v>
      </c>
      <c r="AR118" s="90">
        <f>'Dépenses BP 2017'!O121</f>
        <v>0.11248431038269782</v>
      </c>
      <c r="AS118" s="133"/>
      <c r="AT118" s="54">
        <f t="shared" si="5"/>
        <v>0</v>
      </c>
      <c r="AU118" s="74">
        <f>'Dépenses BP 2017'!BJ121*AV118</f>
        <v>5.7069248692239452</v>
      </c>
      <c r="AV118" s="342">
        <f>$AV$6/$BJ$6</f>
        <v>4.076374906588532E-2</v>
      </c>
      <c r="AW118" s="74">
        <f>'Dépenses BP 2017'!BJ121*AX118</f>
        <v>0.10817718040891007</v>
      </c>
      <c r="AX118" s="342">
        <f t="shared" si="56"/>
        <v>7.726941457779291E-4</v>
      </c>
      <c r="AY118" s="74">
        <f>'Dépenses BP 2017'!Q121</f>
        <v>5.8151020496328556</v>
      </c>
      <c r="AZ118" s="90">
        <f>'Dépenses BP 2017'!R121</f>
        <v>4.1536443211663256E-2</v>
      </c>
      <c r="BA118" s="133"/>
      <c r="BB118" s="211"/>
      <c r="BC118" s="78">
        <f>'Dépenses BP 2017'!Q121</f>
        <v>5.8151020496328556</v>
      </c>
      <c r="BD118" s="89">
        <f>'Dépenses BP 2017'!R121</f>
        <v>4.1536443211663256E-2</v>
      </c>
      <c r="BE118" s="78"/>
      <c r="BF118" s="54"/>
      <c r="BG118" s="82">
        <f>'Dépenses BP 2017'!T121</f>
        <v>29.437760123702041</v>
      </c>
      <c r="BH118" s="87">
        <f>'Dépenses BP 2017'!U121</f>
        <v>0.21026971516930029</v>
      </c>
      <c r="BI118" s="82"/>
      <c r="BJ118" s="205">
        <f t="shared" si="6"/>
        <v>0</v>
      </c>
      <c r="BK118" s="205"/>
    </row>
    <row r="119" spans="1:63">
      <c r="A119" s="1584" t="str">
        <f>'Dépenses BP 2017'!A122</f>
        <v>MDE Cotisations diverses</v>
      </c>
      <c r="B119" s="61">
        <f>'Dépenses BP 2017'!BJ122*C119</f>
        <v>64.975182455873394</v>
      </c>
      <c r="C119" s="94">
        <f>$C$6/$BI$6</f>
        <v>7.6441391124556932E-2</v>
      </c>
      <c r="D119" s="61">
        <f>'Dépenses BP 2017'!BJ122*E119</f>
        <v>0</v>
      </c>
      <c r="E119" s="94">
        <f>$E$6/$BI$6</f>
        <v>0</v>
      </c>
      <c r="F119" s="61">
        <f>'Dépenses BP 2017'!B122</f>
        <v>64.975182455873394</v>
      </c>
      <c r="G119" s="94">
        <f>'Dépenses BP 2017'!C122</f>
        <v>7.6441391124556932E-2</v>
      </c>
      <c r="H119" s="94"/>
      <c r="I119" s="61">
        <f>'Dépenses BP 2017'!E122</f>
        <v>0</v>
      </c>
      <c r="J119" s="94">
        <f>'Dépenses BP 2017'!F122</f>
        <v>0</v>
      </c>
      <c r="K119" s="61">
        <f>'Dépenses BP 2017'!G122</f>
        <v>64.975182455873394</v>
      </c>
      <c r="L119" s="94">
        <f>'Dépenses BP 2017'!H122</f>
        <v>7.6441391124556932E-2</v>
      </c>
      <c r="M119" s="61"/>
      <c r="N119" s="58"/>
      <c r="O119" s="69">
        <f>'Dépenses BP 2017'!BJ122*P119</f>
        <v>129.57208131577093</v>
      </c>
      <c r="P119" s="92">
        <f>$P$6/$BI$6</f>
        <v>0.15243774272443639</v>
      </c>
      <c r="Q119" s="69">
        <f>'Dépenses BP 2017'!BJ122*R119</f>
        <v>20.499539172793749</v>
      </c>
      <c r="R119" s="92">
        <f>$R$6/$BI$6</f>
        <v>2.4117104909169119E-2</v>
      </c>
      <c r="S119" s="69">
        <f>'Dépenses BP 2017'!BJ122*T119</f>
        <v>12.335525034664608</v>
      </c>
      <c r="T119" s="92">
        <f>$T$6/$BI$6</f>
        <v>1.4512382393723069E-2</v>
      </c>
      <c r="U119" s="69">
        <f>'Dépenses BP 2017'!K122</f>
        <v>162.4071455232293</v>
      </c>
      <c r="V119" s="92">
        <f>'Dépenses BP 2017'!L122</f>
        <v>0.19106723002732859</v>
      </c>
      <c r="W119" s="69"/>
      <c r="X119" s="54"/>
      <c r="Y119" s="74">
        <f>'Dépenses BP 2017'!BJ122*Z119</f>
        <v>0</v>
      </c>
      <c r="Z119" s="90">
        <f>$Z$6/$BI$6</f>
        <v>0</v>
      </c>
      <c r="AA119" s="74">
        <f>'Dépenses BP 2017'!T122*AB119</f>
        <v>0</v>
      </c>
      <c r="AB119" s="90">
        <f>$AB$6/$BI$6</f>
        <v>0</v>
      </c>
      <c r="AC119" s="74">
        <f>'Dépenses BP 2017'!T122*AD119</f>
        <v>166.66223060694821</v>
      </c>
      <c r="AD119" s="90">
        <f>$AD$6/$BI$6</f>
        <v>0.19607321247876261</v>
      </c>
      <c r="AE119" s="128"/>
      <c r="AF119" s="128"/>
      <c r="AG119" s="74">
        <f>'Dépenses BP 2017'!T122*AH119</f>
        <v>197.75055530048422</v>
      </c>
      <c r="AH119" s="90">
        <f>$AH$6/$BI$6</f>
        <v>0.23264771211821675</v>
      </c>
      <c r="AI119" s="74">
        <f>'Dépenses BP 2017'!T122*AJ119</f>
        <v>17.97732320913493</v>
      </c>
      <c r="AJ119" s="90">
        <f>$AJ$6/$BI$6</f>
        <v>2.1149792010746977E-2</v>
      </c>
      <c r="AK119" s="74">
        <f>'Dépenses BP 2017'!T122*AL119</f>
        <v>0.15068849132799988</v>
      </c>
      <c r="AL119" s="90">
        <f>$AL$6/$BI$6</f>
        <v>1.7728057803294105E-4</v>
      </c>
      <c r="AM119" s="74">
        <f>'Dépenses BP 2017'!T122*AN119</f>
        <v>27.225521708186033</v>
      </c>
      <c r="AN119" s="90">
        <f>$AN$6/$BI$6</f>
        <v>3.2030025539042391E-2</v>
      </c>
      <c r="AO119" s="74">
        <f>'Dépenses BP 2017'!T122*AP119</f>
        <v>44.943308022837329</v>
      </c>
      <c r="AP119" s="90">
        <f>$AP$6/$BI$6</f>
        <v>5.2874480026867447E-2</v>
      </c>
      <c r="AQ119" s="74">
        <f>'Dépenses BP 2017'!N122</f>
        <v>454.70962733891878</v>
      </c>
      <c r="AR119" s="90">
        <f>'Dépenses BP 2017'!O122</f>
        <v>0.53495250275166917</v>
      </c>
      <c r="AS119" s="133"/>
      <c r="AT119" s="54">
        <f t="shared" si="5"/>
        <v>0</v>
      </c>
      <c r="AU119" s="74">
        <f>'Dépenses BP 2017'!BJ122*AV119</f>
        <v>164.78448490836854</v>
      </c>
      <c r="AV119" s="90">
        <f>$AV$6/$BI$6</f>
        <v>0.1938640998921983</v>
      </c>
      <c r="AW119" s="74">
        <f>'Dépenses BP 2017'!BJ122*AX119</f>
        <v>3.1235597736099088</v>
      </c>
      <c r="AX119" s="90">
        <f>$AX$6/$BI$6</f>
        <v>3.6747762042469516E-3</v>
      </c>
      <c r="AY119" s="74">
        <f>'Dépenses BP 2017'!Q122</f>
        <v>167.90804468197848</v>
      </c>
      <c r="AZ119" s="90">
        <f>'Dépenses BP 2017'!R122</f>
        <v>0.19753887609644527</v>
      </c>
      <c r="BA119" s="133"/>
      <c r="BB119" s="211"/>
      <c r="BC119" s="78">
        <f>'Dépenses BP 2017'!Q122</f>
        <v>167.90804468197848</v>
      </c>
      <c r="BD119" s="89">
        <f>'Dépenses BP 2017'!R122</f>
        <v>0.19753887609644527</v>
      </c>
      <c r="BE119" s="78"/>
      <c r="BF119" s="54"/>
      <c r="BG119" s="82">
        <f>'Dépenses BP 2017'!T122</f>
        <v>850</v>
      </c>
      <c r="BH119" s="87">
        <f>'Dépenses BP 2017'!U122</f>
        <v>0.99999999999999989</v>
      </c>
      <c r="BI119" s="82"/>
      <c r="BJ119" s="205">
        <f t="shared" si="6"/>
        <v>0</v>
      </c>
      <c r="BK119" s="205"/>
    </row>
    <row r="120" spans="1:63">
      <c r="A120" s="1584" t="str">
        <f>'Dépenses BP 2017'!A123</f>
        <v>ML Cotisations diverses</v>
      </c>
      <c r="B120" s="61"/>
      <c r="C120" s="94"/>
      <c r="D120" s="61"/>
      <c r="E120" s="94"/>
      <c r="F120" s="61"/>
      <c r="G120" s="94"/>
      <c r="H120" s="94"/>
      <c r="I120" s="61"/>
      <c r="J120" s="94"/>
      <c r="K120" s="61"/>
      <c r="L120" s="94"/>
      <c r="M120" s="61"/>
      <c r="N120" s="58"/>
      <c r="O120" s="69"/>
      <c r="P120" s="92"/>
      <c r="Q120" s="69"/>
      <c r="R120" s="92"/>
      <c r="S120" s="92"/>
      <c r="T120" s="92"/>
      <c r="U120" s="69"/>
      <c r="V120" s="92"/>
      <c r="W120" s="69"/>
      <c r="X120" s="54"/>
      <c r="Y120" s="74"/>
      <c r="Z120" s="90"/>
      <c r="AA120" s="74"/>
      <c r="AB120" s="90"/>
      <c r="AC120" s="74"/>
      <c r="AD120" s="90"/>
      <c r="AE120" s="128"/>
      <c r="AF120" s="128"/>
      <c r="AG120" s="74"/>
      <c r="AH120" s="90"/>
      <c r="AI120" s="74"/>
      <c r="AJ120" s="90"/>
      <c r="AK120" s="74"/>
      <c r="AL120" s="90"/>
      <c r="AM120" s="74"/>
      <c r="AN120" s="90"/>
      <c r="AO120" s="90"/>
      <c r="AP120" s="90"/>
      <c r="AQ120" s="74"/>
      <c r="AR120" s="90"/>
      <c r="AS120" s="133"/>
      <c r="AT120" s="54">
        <f t="shared" si="5"/>
        <v>0</v>
      </c>
      <c r="AU120" s="74"/>
      <c r="AV120" s="90"/>
      <c r="AW120" s="90"/>
      <c r="AX120" s="90"/>
      <c r="AY120" s="74"/>
      <c r="AZ120" s="90"/>
      <c r="BA120" s="133"/>
      <c r="BB120" s="211"/>
      <c r="BC120" s="78"/>
      <c r="BD120" s="89"/>
      <c r="BE120" s="78"/>
      <c r="BF120" s="54"/>
      <c r="BG120" s="82"/>
      <c r="BH120" s="87"/>
      <c r="BI120" s="82"/>
      <c r="BJ120" s="205">
        <f t="shared" si="6"/>
        <v>0</v>
      </c>
      <c r="BK120" s="205"/>
    </row>
    <row r="121" spans="1:63">
      <c r="A121" s="67" t="str">
        <f>'Dépenses BP 2017'!A124</f>
        <v>Impôts et taxes</v>
      </c>
      <c r="B121" s="62">
        <f>SUM(B122:B123)</f>
        <v>0</v>
      </c>
      <c r="C121" s="93"/>
      <c r="D121" s="62">
        <f>SUM(D122:D123)</f>
        <v>0</v>
      </c>
      <c r="E121" s="93"/>
      <c r="F121" s="62">
        <f>'Dépenses BP 2017'!B124</f>
        <v>0</v>
      </c>
      <c r="G121" s="93"/>
      <c r="H121" s="93"/>
      <c r="I121" s="62">
        <f>'Dépenses BP 2017'!E124</f>
        <v>0</v>
      </c>
      <c r="J121" s="93"/>
      <c r="K121" s="62">
        <f>'Dépenses BP 2017'!G124</f>
        <v>0</v>
      </c>
      <c r="L121" s="93"/>
      <c r="M121" s="62" t="str">
        <f>'Dépenses BP 2017'!I124</f>
        <v>/</v>
      </c>
      <c r="N121" s="58"/>
      <c r="O121" s="73">
        <f>SUM(O122:O123)</f>
        <v>0</v>
      </c>
      <c r="P121" s="93"/>
      <c r="Q121" s="73">
        <f>SUM(Q122:Q123)</f>
        <v>0</v>
      </c>
      <c r="R121" s="62"/>
      <c r="S121" s="62">
        <f>SUM(S122:S123)</f>
        <v>0</v>
      </c>
      <c r="T121" s="62"/>
      <c r="U121" s="62">
        <f>'Dépenses BP 2017'!K124</f>
        <v>0</v>
      </c>
      <c r="V121" s="93"/>
      <c r="W121" s="62" t="str">
        <f>'Dépenses BP 2017'!M124</f>
        <v>/</v>
      </c>
      <c r="X121" s="54"/>
      <c r="Y121" s="73">
        <f>SUM(Y122:Y123)</f>
        <v>0</v>
      </c>
      <c r="Z121" s="88"/>
      <c r="AA121" s="73">
        <f>SUM(AA122:AA123)</f>
        <v>0</v>
      </c>
      <c r="AB121" s="88"/>
      <c r="AC121" s="73">
        <f>SUM(AC122:AC123)</f>
        <v>0</v>
      </c>
      <c r="AD121" s="88"/>
      <c r="AE121" s="125">
        <v>0</v>
      </c>
      <c r="AF121" s="129"/>
      <c r="AG121" s="73">
        <f>SUM(AG122:AG123)</f>
        <v>0</v>
      </c>
      <c r="AH121" s="88"/>
      <c r="AI121" s="73">
        <f>SUM(AI122:AI123)</f>
        <v>0</v>
      </c>
      <c r="AJ121" s="88"/>
      <c r="AK121" s="73">
        <f>SUM(AK122:AK123)</f>
        <v>0</v>
      </c>
      <c r="AL121" s="88"/>
      <c r="AM121" s="73">
        <f>SUM(AM122:AM123)</f>
        <v>0</v>
      </c>
      <c r="AN121" s="88"/>
      <c r="AO121" s="73">
        <f>SUM(AO122:AO123)</f>
        <v>0</v>
      </c>
      <c r="AP121" s="73"/>
      <c r="AQ121" s="73">
        <f>'Dépenses BP 2017'!N124</f>
        <v>0</v>
      </c>
      <c r="AR121" s="88"/>
      <c r="AS121" s="131" t="str">
        <f>'Dépenses BP 2017'!P124</f>
        <v>/</v>
      </c>
      <c r="AT121" s="54">
        <f t="shared" si="5"/>
        <v>0</v>
      </c>
      <c r="AU121" s="73">
        <f>SUM(AU122:AU123)</f>
        <v>0</v>
      </c>
      <c r="AV121" s="88"/>
      <c r="AW121" s="73">
        <f>SUM(AW122:AW123)</f>
        <v>0</v>
      </c>
      <c r="AX121" s="88"/>
      <c r="AY121" s="73">
        <f>'Dépenses BP 2017'!Q124</f>
        <v>0</v>
      </c>
      <c r="AZ121" s="88"/>
      <c r="BA121" s="131" t="str">
        <f>'Dépenses BP 2017'!S124</f>
        <v>/</v>
      </c>
      <c r="BB121" s="211"/>
      <c r="BC121" s="73">
        <f>'Dépenses BP 2017'!Q124</f>
        <v>0</v>
      </c>
      <c r="BD121" s="88"/>
      <c r="BE121" s="73" t="str">
        <f>'Dépenses BP 2017'!S124</f>
        <v>/</v>
      </c>
      <c r="BF121" s="53"/>
      <c r="BG121" s="73">
        <f>'Dépenses BP 2017'!T124</f>
        <v>0</v>
      </c>
      <c r="BH121" s="88"/>
      <c r="BI121" s="83"/>
      <c r="BJ121" s="205">
        <f t="shared" si="6"/>
        <v>0</v>
      </c>
      <c r="BK121" s="205"/>
    </row>
    <row r="122" spans="1:63">
      <c r="A122" s="1584" t="str">
        <f>'Dépenses BP 2017'!A125</f>
        <v>Taxes diverses - URSSAF PMSMP</v>
      </c>
      <c r="B122" s="61"/>
      <c r="C122" s="94"/>
      <c r="D122" s="61"/>
      <c r="E122" s="94"/>
      <c r="F122" s="61"/>
      <c r="G122" s="94"/>
      <c r="H122" s="94"/>
      <c r="I122" s="61">
        <f>'Dépenses BP 2017'!E125</f>
        <v>0</v>
      </c>
      <c r="J122" s="94">
        <f>'Dépenses BP 2017'!F125</f>
        <v>0</v>
      </c>
      <c r="K122" s="61">
        <f>'Dépenses BP 2017'!G125</f>
        <v>0</v>
      </c>
      <c r="L122" s="94">
        <f>'Dépenses BP 2017'!H125</f>
        <v>0</v>
      </c>
      <c r="M122" s="61"/>
      <c r="N122" s="58"/>
      <c r="O122" s="69"/>
      <c r="P122" s="92"/>
      <c r="Q122" s="69"/>
      <c r="R122" s="92"/>
      <c r="S122" s="69"/>
      <c r="T122" s="92"/>
      <c r="U122" s="69"/>
      <c r="V122" s="92"/>
      <c r="W122" s="69"/>
      <c r="X122" s="54"/>
      <c r="Y122" s="74">
        <f>'Dépenses BP 2017'!BJ125*Z122</f>
        <v>0</v>
      </c>
      <c r="Z122" s="90">
        <f>$Z$6/$BJ$6</f>
        <v>0</v>
      </c>
      <c r="AA122" s="74">
        <f>'Dépenses BP 2017'!BJ125*AB122</f>
        <v>0</v>
      </c>
      <c r="AB122" s="90">
        <f>$AB$6/$BJ$6</f>
        <v>0</v>
      </c>
      <c r="AC122" s="74"/>
      <c r="AD122" s="90"/>
      <c r="AE122" s="128"/>
      <c r="AF122" s="128"/>
      <c r="AG122" s="74"/>
      <c r="AH122" s="90"/>
      <c r="AI122" s="74"/>
      <c r="AJ122" s="90"/>
      <c r="AK122" s="74"/>
      <c r="AL122" s="90"/>
      <c r="AM122" s="74"/>
      <c r="AN122" s="90"/>
      <c r="AO122" s="74"/>
      <c r="AP122" s="342"/>
      <c r="AQ122" s="74"/>
      <c r="AR122" s="90"/>
      <c r="AS122" s="133"/>
      <c r="AT122" s="54">
        <f t="shared" ref="AT122:AT126" si="57">AQ122-(AC122+AG122+AI122+AK122+AM122+AO122)</f>
        <v>0</v>
      </c>
      <c r="AU122" s="74"/>
      <c r="AV122" s="342"/>
      <c r="AW122" s="74"/>
      <c r="AX122" s="342"/>
      <c r="AY122" s="74"/>
      <c r="AZ122" s="90"/>
      <c r="BA122" s="133"/>
      <c r="BB122" s="211"/>
      <c r="BC122" s="78">
        <f>'Dépenses BP 2017'!Q125</f>
        <v>0</v>
      </c>
      <c r="BD122" s="89">
        <f>'Dépenses BP 2017'!R125</f>
        <v>0</v>
      </c>
      <c r="BE122" s="78"/>
      <c r="BF122" s="54"/>
      <c r="BG122" s="82">
        <f>'Dépenses BP 2017'!T125</f>
        <v>0</v>
      </c>
      <c r="BH122" s="87">
        <f>'Dépenses BP 2017'!U125</f>
        <v>0</v>
      </c>
      <c r="BI122" s="82"/>
      <c r="BJ122" s="205">
        <f t="shared" ref="BJ122:BJ128" si="58">BG122-(AW122+AU122+AO122+AM122+AK122+AI122+AG122+AC122+S122+Q122+O122+D122+B122)</f>
        <v>0</v>
      </c>
      <c r="BK122" s="205"/>
    </row>
    <row r="123" spans="1:63" s="50" customFormat="1">
      <c r="A123" s="1584" t="str">
        <f>'Dépenses BP 2017'!A126</f>
        <v>Formation Continue</v>
      </c>
      <c r="B123" s="61">
        <f>'Dépenses BP 2017'!BJ126*C123</f>
        <v>0</v>
      </c>
      <c r="C123" s="94">
        <f>$C$6/$BJ$6</f>
        <v>1.6073309538905668E-2</v>
      </c>
      <c r="D123" s="61">
        <f>'Dépenses BP 2017'!BJ126*E123</f>
        <v>0</v>
      </c>
      <c r="E123" s="94">
        <f>$E$6/$BJ$6</f>
        <v>0</v>
      </c>
      <c r="F123" s="61">
        <f>'Dépenses BP 2017'!B126</f>
        <v>0</v>
      </c>
      <c r="G123" s="94">
        <f>'Dépenses BP 2017'!C126</f>
        <v>1.6073309538905668E-2</v>
      </c>
      <c r="H123" s="94"/>
      <c r="I123" s="61">
        <f>'Dépenses BP 2017'!E126</f>
        <v>0</v>
      </c>
      <c r="J123" s="94">
        <f>'Dépenses BP 2017'!F126</f>
        <v>0</v>
      </c>
      <c r="K123" s="61">
        <f>'Dépenses BP 2017'!G126</f>
        <v>0</v>
      </c>
      <c r="L123" s="94">
        <f>'Dépenses BP 2017'!H126</f>
        <v>1.6073309538905668E-2</v>
      </c>
      <c r="M123" s="61"/>
      <c r="N123" s="58"/>
      <c r="O123" s="69">
        <f>'Dépenses BP 2017'!BJ126*P123</f>
        <v>0</v>
      </c>
      <c r="P123" s="92">
        <f>$P$6/$BJ$6</f>
        <v>3.2053040743718321E-2</v>
      </c>
      <c r="Q123" s="69">
        <f>'Dépenses BP 2017'!BJ126*R123</f>
        <v>0</v>
      </c>
      <c r="R123" s="92">
        <f>$R$6/$BJ$6</f>
        <v>5.0710967799591248E-3</v>
      </c>
      <c r="S123" s="69">
        <f>'Dépenses BP 2017'!BJ126*T123</f>
        <v>0</v>
      </c>
      <c r="T123" s="92">
        <f>$T$6/$BJ$6</f>
        <v>3.0515145123561184E-3</v>
      </c>
      <c r="U123" s="69">
        <f>'Dépenses BP 2017'!K126</f>
        <v>0</v>
      </c>
      <c r="V123" s="92">
        <f>'Dépenses BP 2017'!L126</f>
        <v>4.0175652036033564E-2</v>
      </c>
      <c r="W123" s="69"/>
      <c r="X123" s="54"/>
      <c r="Y123" s="74">
        <f>'Dépenses BP 2017'!BJ126*Z123</f>
        <v>0</v>
      </c>
      <c r="Z123" s="90">
        <f>$Z$6/$BJ$6</f>
        <v>0</v>
      </c>
      <c r="AA123" s="74">
        <f>'Dépenses BP 2017'!BJ126*AB123</f>
        <v>0</v>
      </c>
      <c r="AB123" s="90">
        <f>$AB$6/$BJ$6</f>
        <v>0</v>
      </c>
      <c r="AC123" s="74">
        <f>'Dépenses BP 2017'!BJ126*AD123</f>
        <v>0</v>
      </c>
      <c r="AD123" s="90">
        <f>$AD$6/$BJ$6</f>
        <v>4.1228258540239121E-2</v>
      </c>
      <c r="AE123" s="128"/>
      <c r="AF123" s="128"/>
      <c r="AG123" s="74">
        <f>'Dépenses BP 2017'!BJ126*AH123</f>
        <v>0</v>
      </c>
      <c r="AH123" s="90">
        <f>$AH$6/$BJ$6</f>
        <v>4.8918768161886818E-2</v>
      </c>
      <c r="AI123" s="74">
        <f>'Dépenses BP 2017'!BJ126*AJ123</f>
        <v>0</v>
      </c>
      <c r="AJ123" s="90">
        <f>$AJ$6/$BJ$6</f>
        <v>4.4471607419897105E-3</v>
      </c>
      <c r="AK123" s="74">
        <f>'Dépenses BP 2017'!BJ126*AL123</f>
        <v>0</v>
      </c>
      <c r="AL123" s="90">
        <f>$AL$6/$BJ$6</f>
        <v>3.7276736648035431E-5</v>
      </c>
      <c r="AM123" s="74">
        <f>'Dépenses BP 2017'!BJ126*AN123</f>
        <v>0</v>
      </c>
      <c r="AN123" s="90">
        <f>$AN$6/$BJ$6</f>
        <v>6.7349443469598581E-3</v>
      </c>
      <c r="AO123" s="74">
        <f>'Dépenses BP 2017'!BJ126*AP123</f>
        <v>0</v>
      </c>
      <c r="AP123" s="342">
        <f>$AP$6/$BJ$6</f>
        <v>1.1117901854974277E-2</v>
      </c>
      <c r="AQ123" s="74">
        <f>'Dépenses BP 2017'!N126</f>
        <v>0</v>
      </c>
      <c r="AR123" s="90">
        <f>'Dépenses BP 2017'!O126</f>
        <v>0.11248431038269782</v>
      </c>
      <c r="AS123" s="133"/>
      <c r="AT123" s="54">
        <f t="shared" si="57"/>
        <v>0</v>
      </c>
      <c r="AU123" s="74">
        <f>'Dépenses BP 2017'!BJ126*AV123</f>
        <v>0</v>
      </c>
      <c r="AV123" s="342">
        <f>$AV$6/$BJ$6</f>
        <v>4.076374906588532E-2</v>
      </c>
      <c r="AW123" s="74">
        <f>'Dépenses BP 2017'!BJ126*AX123</f>
        <v>0</v>
      </c>
      <c r="AX123" s="342">
        <f t="shared" ref="AX123" si="59">$AX$6/$BJ$6</f>
        <v>7.726941457779291E-4</v>
      </c>
      <c r="AY123" s="74">
        <f>'Dépenses BP 2017'!Q126</f>
        <v>0</v>
      </c>
      <c r="AZ123" s="90">
        <f>'Dépenses BP 2017'!R126</f>
        <v>4.1536443211663256E-2</v>
      </c>
      <c r="BA123" s="133"/>
      <c r="BB123" s="211"/>
      <c r="BC123" s="78">
        <f>'Dépenses BP 2017'!Q126</f>
        <v>0</v>
      </c>
      <c r="BD123" s="89">
        <f>'Dépenses BP 2017'!R126</f>
        <v>4.1536443211663256E-2</v>
      </c>
      <c r="BE123" s="78"/>
      <c r="BF123" s="54"/>
      <c r="BG123" s="82">
        <f>'Dépenses BP 2017'!T126</f>
        <v>0</v>
      </c>
      <c r="BH123" s="87">
        <f>'Dépenses BP 2017'!U126</f>
        <v>0.21026971516930029</v>
      </c>
      <c r="BI123" s="82"/>
      <c r="BJ123" s="205">
        <f t="shared" si="58"/>
        <v>0</v>
      </c>
      <c r="BK123" s="205"/>
    </row>
    <row r="124" spans="1:63" s="50" customFormat="1">
      <c r="A124" s="67" t="str">
        <f>'Dépenses BP 2017'!A127</f>
        <v>Dotation</v>
      </c>
      <c r="B124" s="62">
        <f>SUM(B125:B127)</f>
        <v>115.72782868012081</v>
      </c>
      <c r="C124" s="93"/>
      <c r="D124" s="62">
        <f>SUM(D125:D127)</f>
        <v>0</v>
      </c>
      <c r="E124" s="93"/>
      <c r="F124" s="62">
        <f>'Dépenses BP 2017'!B127</f>
        <v>115.72782868012081</v>
      </c>
      <c r="G124" s="93"/>
      <c r="H124" s="93"/>
      <c r="I124" s="62">
        <f>'Dépenses BP 2017'!E127</f>
        <v>0</v>
      </c>
      <c r="J124" s="93"/>
      <c r="K124" s="62">
        <f>'Dépenses BP 2017'!G127</f>
        <v>115.72782868012081</v>
      </c>
      <c r="L124" s="93"/>
      <c r="M124" s="62" t="str">
        <f>'Dépenses BP 2017'!I127</f>
        <v>/</v>
      </c>
      <c r="N124" s="58"/>
      <c r="O124" s="62">
        <f>SUM(O125:O127)</f>
        <v>230.78189335477191</v>
      </c>
      <c r="P124" s="62"/>
      <c r="Q124" s="62">
        <f>SUM(Q125:Q127)</f>
        <v>36.511896815705704</v>
      </c>
      <c r="R124" s="62"/>
      <c r="S124" s="62">
        <f>SUM(S125:S127)</f>
        <v>21.970904488964052</v>
      </c>
      <c r="T124" s="62"/>
      <c r="U124" s="62">
        <f>'Dépenses BP 2017'!K127</f>
        <v>289.26469465944166</v>
      </c>
      <c r="V124" s="93"/>
      <c r="W124" s="62" t="str">
        <f>'Dépenses BP 2017'!M127</f>
        <v>/</v>
      </c>
      <c r="X124" s="54"/>
      <c r="Y124" s="73">
        <f>SUM(Y125:Y127)</f>
        <v>0</v>
      </c>
      <c r="Z124" s="73"/>
      <c r="AA124" s="73">
        <f>SUM(AA125:AA127)</f>
        <v>0</v>
      </c>
      <c r="AB124" s="73"/>
      <c r="AC124" s="73">
        <f>SUM(AC125:AC127)</f>
        <v>296.84346148972168</v>
      </c>
      <c r="AD124" s="88"/>
      <c r="AE124" s="125">
        <v>0</v>
      </c>
      <c r="AF124" s="129"/>
      <c r="AG124" s="73">
        <f>SUM(AG125:AG127)</f>
        <v>352.21513076558506</v>
      </c>
      <c r="AH124" s="88"/>
      <c r="AI124" s="73">
        <f>SUM(AI125:AI127)</f>
        <v>32.019557342325918</v>
      </c>
      <c r="AJ124" s="88"/>
      <c r="AK124" s="73">
        <f>SUM(AK125:AK127)</f>
        <v>0.26839250386585506</v>
      </c>
      <c r="AL124" s="88"/>
      <c r="AM124" s="73">
        <f>SUM(AM125:AM127)</f>
        <v>48.491599298110977</v>
      </c>
      <c r="AN124" s="88"/>
      <c r="AO124" s="73">
        <f>SUM(AO125:AO127)</f>
        <v>80.048893355814783</v>
      </c>
      <c r="AP124" s="73"/>
      <c r="AQ124" s="73">
        <f>SUM(AQ125:AQ127)</f>
        <v>809.88703475542422</v>
      </c>
      <c r="AR124" s="88"/>
      <c r="AS124" s="131" t="str">
        <f>'Dépenses BP 2017'!P127</f>
        <v>/</v>
      </c>
      <c r="AT124" s="54">
        <f t="shared" si="57"/>
        <v>0</v>
      </c>
      <c r="AU124" s="73">
        <f>SUM(AU125:AU127)</f>
        <v>293.4989932743743</v>
      </c>
      <c r="AV124" s="88"/>
      <c r="AW124" s="73">
        <f>SUM(AW125:AW127)</f>
        <v>5.5633978496010892</v>
      </c>
      <c r="AX124" s="88"/>
      <c r="AY124" s="73">
        <f>'Dépenses BP 2017'!Q127</f>
        <v>299.06239112397543</v>
      </c>
      <c r="AZ124" s="88"/>
      <c r="BA124" s="131" t="str">
        <f>'Dépenses BP 2017'!S127</f>
        <v>/</v>
      </c>
      <c r="BB124" s="211"/>
      <c r="BC124" s="73">
        <f>'Dépenses BP 2017'!Q127</f>
        <v>299.06239112397543</v>
      </c>
      <c r="BD124" s="88">
        <f>'Dépenses BP 2017'!R127</f>
        <v>0</v>
      </c>
      <c r="BE124" s="88" t="str">
        <f>'Dépenses BP 2017'!S127</f>
        <v>/</v>
      </c>
      <c r="BF124" s="53"/>
      <c r="BG124" s="73">
        <f>'Dépenses BP 2017'!T127</f>
        <v>1513.9419492189622</v>
      </c>
      <c r="BH124" s="88">
        <f>'Dépenses BP 2017'!U127</f>
        <v>0</v>
      </c>
      <c r="BI124" s="73"/>
      <c r="BJ124" s="205">
        <f t="shared" si="58"/>
        <v>0</v>
      </c>
      <c r="BK124" s="205"/>
    </row>
    <row r="125" spans="1:63" s="1" customFormat="1">
      <c r="A125" s="1584" t="str">
        <f>'Dépenses BP 2017'!A128</f>
        <v>Dot Amort s/immo</v>
      </c>
      <c r="B125" s="63">
        <f>'Dépenses BP 2017'!BJ128*C125</f>
        <v>3.2146619077811334</v>
      </c>
      <c r="C125" s="94">
        <f>$C$6/$BJ$6</f>
        <v>1.6073309538905668E-2</v>
      </c>
      <c r="D125" s="63">
        <f>'Dépenses BP 2017'!BJ128*E125</f>
        <v>0</v>
      </c>
      <c r="E125" s="94">
        <f>$E$6/$BJ$6</f>
        <v>0</v>
      </c>
      <c r="F125" s="63">
        <f>'Dépenses BP 2017'!B128</f>
        <v>3.2146619077811334</v>
      </c>
      <c r="G125" s="94">
        <f>'Dépenses BP 2017'!C128</f>
        <v>1.6073309538905668E-2</v>
      </c>
      <c r="H125" s="94"/>
      <c r="I125" s="63">
        <f>'Dépenses BP 2017'!E128</f>
        <v>0</v>
      </c>
      <c r="J125" s="94">
        <f>'Dépenses BP 2017'!F128</f>
        <v>0</v>
      </c>
      <c r="K125" s="63">
        <f>'Dépenses BP 2017'!G128</f>
        <v>3.2146619077811334</v>
      </c>
      <c r="L125" s="94">
        <f>'Dépenses BP 2017'!H128</f>
        <v>1.6073309538905668E-2</v>
      </c>
      <c r="M125" s="63"/>
      <c r="N125" s="58"/>
      <c r="O125" s="69">
        <f>'Dépenses BP 2017'!BJ128*P125</f>
        <v>6.4106081487436644</v>
      </c>
      <c r="P125" s="92">
        <f>$P$6/$BJ$6</f>
        <v>3.2053040743718321E-2</v>
      </c>
      <c r="Q125" s="69">
        <f>'Dépenses BP 2017'!BJ128*R125</f>
        <v>1.0142193559918249</v>
      </c>
      <c r="R125" s="92">
        <f>$R$6/$BJ$6</f>
        <v>5.0710967799591248E-3</v>
      </c>
      <c r="S125" s="69">
        <f>'Dépenses BP 2017'!BJ128*T125</f>
        <v>0.61030290247122365</v>
      </c>
      <c r="T125" s="92">
        <f>$T$6/$BJ$6</f>
        <v>3.0515145123561184E-3</v>
      </c>
      <c r="U125" s="70">
        <f>'Dépenses BP 2017'!K128</f>
        <v>8.0351304072067133</v>
      </c>
      <c r="V125" s="92">
        <f>'Dépenses BP 2017'!L128</f>
        <v>4.0175652036033564E-2</v>
      </c>
      <c r="W125" s="70"/>
      <c r="X125" s="54"/>
      <c r="Y125" s="74">
        <f>'Dépenses BP 2017'!BJ128*Z125</f>
        <v>0</v>
      </c>
      <c r="Z125" s="90">
        <f>$Z$6/$BJ$6</f>
        <v>0</v>
      </c>
      <c r="AA125" s="74">
        <f>'Dépenses BP 2017'!BJ128*AB125</f>
        <v>0</v>
      </c>
      <c r="AB125" s="90">
        <f>$AB$6/$BJ$6</f>
        <v>0</v>
      </c>
      <c r="AC125" s="74">
        <f>'Dépenses BP 2017'!BJ128*AD125</f>
        <v>8.2456517080478235</v>
      </c>
      <c r="AD125" s="90">
        <f>$AD$6/$BJ$6</f>
        <v>4.1228258540239121E-2</v>
      </c>
      <c r="AE125" s="128"/>
      <c r="AF125" s="128"/>
      <c r="AG125" s="74">
        <f>'Dépenses BP 2017'!BJ128*AH125</f>
        <v>9.7837536323773637</v>
      </c>
      <c r="AH125" s="90">
        <f>$AH$6/$BJ$6</f>
        <v>4.8918768161886818E-2</v>
      </c>
      <c r="AI125" s="74">
        <f>'Dépenses BP 2017'!BJ128*AJ125</f>
        <v>0.88943214839794205</v>
      </c>
      <c r="AJ125" s="90">
        <f>$AJ$6/$BJ$6</f>
        <v>4.4471607419897105E-3</v>
      </c>
      <c r="AK125" s="74">
        <f>'Dépenses BP 2017'!BJ128*AL125</f>
        <v>7.4553473296070866E-3</v>
      </c>
      <c r="AL125" s="90">
        <f>$AL$6/$BJ$6</f>
        <v>3.7276736648035431E-5</v>
      </c>
      <c r="AM125" s="74">
        <f>'Dépenses BP 2017'!BJ128*AN125</f>
        <v>1.3469888693919716</v>
      </c>
      <c r="AN125" s="90">
        <f>$AN$6/$BJ$6</f>
        <v>6.7349443469598581E-3</v>
      </c>
      <c r="AO125" s="74">
        <f>'Dépenses BP 2017'!BJ128*AP125</f>
        <v>2.2235803709948554</v>
      </c>
      <c r="AP125" s="342">
        <f>$AP$6/$BJ$6</f>
        <v>1.1117901854974277E-2</v>
      </c>
      <c r="AQ125" s="75">
        <f>'Dépenses BP 2017'!N128</f>
        <v>22.496862076539564</v>
      </c>
      <c r="AR125" s="90">
        <f>'Dépenses BP 2017'!O128</f>
        <v>0.11248431038269782</v>
      </c>
      <c r="AS125" s="207"/>
      <c r="AT125" s="54">
        <f t="shared" si="57"/>
        <v>0</v>
      </c>
      <c r="AU125" s="74">
        <f>'Dépenses BP 2017'!BJ128*AV125</f>
        <v>8.1527498131770635</v>
      </c>
      <c r="AV125" s="342">
        <f>$AV$6/$BJ$6</f>
        <v>4.076374906588532E-2</v>
      </c>
      <c r="AW125" s="74">
        <f>'Dépenses BP 2017'!BJ128*AX125</f>
        <v>0.15453882915558581</v>
      </c>
      <c r="AX125" s="342">
        <f t="shared" ref="AX125" si="60">$AX$6/$BJ$6</f>
        <v>7.726941457779291E-4</v>
      </c>
      <c r="AY125" s="75">
        <f>'Dépenses BP 2017'!Q128</f>
        <v>8.3072886423326509</v>
      </c>
      <c r="AZ125" s="90">
        <f>'Dépenses BP 2017'!W128</f>
        <v>0</v>
      </c>
      <c r="BA125" s="207"/>
      <c r="BB125" s="211"/>
      <c r="BC125" s="79">
        <f>'Dépenses BP 2017'!Q128</f>
        <v>8.3072886423326509</v>
      </c>
      <c r="BD125" s="89">
        <f>'Dépenses BP 2017'!R128</f>
        <v>4.1536443211663256E-2</v>
      </c>
      <c r="BE125" s="79"/>
      <c r="BF125" s="60"/>
      <c r="BG125" s="84">
        <f>'Dépenses BP 2017'!T128</f>
        <v>42.053943033860065</v>
      </c>
      <c r="BH125" s="87">
        <f>'Dépenses BP 2017'!U128</f>
        <v>0.21026971516930029</v>
      </c>
      <c r="BI125" s="84"/>
      <c r="BJ125" s="205">
        <f t="shared" si="58"/>
        <v>0</v>
      </c>
      <c r="BK125" s="205"/>
    </row>
    <row r="126" spans="1:63" s="1" customFormat="1">
      <c r="A126" s="1584" t="str">
        <f>'Dépenses BP 2017'!A129</f>
        <v>Dot provisions pour risques et charges d'exploitation / GJ</v>
      </c>
      <c r="B126" s="63"/>
      <c r="C126" s="94"/>
      <c r="D126" s="63"/>
      <c r="E126" s="94"/>
      <c r="F126" s="63"/>
      <c r="G126" s="94"/>
      <c r="H126" s="94"/>
      <c r="I126" s="63"/>
      <c r="J126" s="94"/>
      <c r="K126" s="63"/>
      <c r="L126" s="94"/>
      <c r="M126" s="63"/>
      <c r="N126" s="58"/>
      <c r="O126" s="69"/>
      <c r="P126" s="92"/>
      <c r="Q126" s="69"/>
      <c r="R126" s="92"/>
      <c r="S126" s="69"/>
      <c r="T126" s="92"/>
      <c r="U126" s="70"/>
      <c r="V126" s="92"/>
      <c r="W126" s="70"/>
      <c r="X126" s="54"/>
      <c r="Y126" s="74"/>
      <c r="Z126" s="90"/>
      <c r="AA126" s="74"/>
      <c r="AB126" s="90"/>
      <c r="AC126" s="74"/>
      <c r="AD126" s="90"/>
      <c r="AE126" s="128"/>
      <c r="AF126" s="128"/>
      <c r="AG126" s="74"/>
      <c r="AH126" s="90"/>
      <c r="AI126" s="74"/>
      <c r="AJ126" s="90"/>
      <c r="AK126" s="74"/>
      <c r="AL126" s="90"/>
      <c r="AM126" s="74"/>
      <c r="AN126" s="90"/>
      <c r="AO126" s="74"/>
      <c r="AP126" s="342"/>
      <c r="AQ126" s="75"/>
      <c r="AR126" s="90"/>
      <c r="AS126" s="207"/>
      <c r="AT126" s="54">
        <f t="shared" si="57"/>
        <v>0</v>
      </c>
      <c r="AU126" s="74"/>
      <c r="AV126" s="342"/>
      <c r="AW126" s="74"/>
      <c r="AX126" s="342"/>
      <c r="AY126" s="75"/>
      <c r="AZ126" s="90"/>
      <c r="BA126" s="207"/>
      <c r="BB126" s="211"/>
      <c r="BC126" s="79"/>
      <c r="BD126" s="89"/>
      <c r="BE126" s="79"/>
      <c r="BF126" s="60"/>
      <c r="BG126" s="84"/>
      <c r="BH126" s="87"/>
      <c r="BI126" s="84"/>
      <c r="BJ126" s="205">
        <f t="shared" si="58"/>
        <v>0</v>
      </c>
      <c r="BK126" s="205"/>
    </row>
    <row r="127" spans="1:63">
      <c r="A127" s="1584" t="str">
        <f>'Dépenses BP 2017'!A130</f>
        <v>Dot prov ind fin de c</v>
      </c>
      <c r="B127" s="63">
        <f>'Dépenses BP 2017'!BJ130*C127</f>
        <v>112.51316677233967</v>
      </c>
      <c r="C127" s="94">
        <f>$C$6/$BJ$6</f>
        <v>1.6073309538905668E-2</v>
      </c>
      <c r="D127" s="63">
        <f>'Dépenses BP 2017'!BJ130*E127</f>
        <v>0</v>
      </c>
      <c r="E127" s="94">
        <f>$E$6/$BJ$6</f>
        <v>0</v>
      </c>
      <c r="F127" s="63">
        <f>'Dépenses BP 2017'!B130</f>
        <v>112.51316677233967</v>
      </c>
      <c r="G127" s="94">
        <f>'Dépenses BP 2017'!C130</f>
        <v>1.6073309538905668E-2</v>
      </c>
      <c r="H127" s="94"/>
      <c r="I127" s="63">
        <f>'Dépenses BP 2017'!E130</f>
        <v>0</v>
      </c>
      <c r="J127" s="94">
        <f>'Dépenses BP 2017'!F130</f>
        <v>0</v>
      </c>
      <c r="K127" s="63">
        <f>'Dépenses BP 2017'!G130</f>
        <v>112.51316677233967</v>
      </c>
      <c r="L127" s="94">
        <f>'Dépenses BP 2017'!H130</f>
        <v>1.6073309538905668E-2</v>
      </c>
      <c r="M127" s="63"/>
      <c r="N127" s="58"/>
      <c r="O127" s="69">
        <f>'Dépenses BP 2017'!BJ130*P127</f>
        <v>224.37128520602823</v>
      </c>
      <c r="P127" s="92">
        <f>$P$6/$BJ$6</f>
        <v>3.2053040743718321E-2</v>
      </c>
      <c r="Q127" s="69">
        <f>'Dépenses BP 2017'!BJ130*R127</f>
        <v>35.497677459713877</v>
      </c>
      <c r="R127" s="92">
        <f>$R$6/$BJ$6</f>
        <v>5.0710967799591248E-3</v>
      </c>
      <c r="S127" s="69">
        <f>'Dépenses BP 2017'!BJ130*T127</f>
        <v>21.36060158649283</v>
      </c>
      <c r="T127" s="92">
        <f>$T$6/$BJ$6</f>
        <v>3.0515145123561184E-3</v>
      </c>
      <c r="U127" s="70">
        <f>'Dépenses BP 2017'!K130</f>
        <v>281.22956425223492</v>
      </c>
      <c r="V127" s="92">
        <f>'Dépenses BP 2017'!L130</f>
        <v>4.0175652036033564E-2</v>
      </c>
      <c r="W127" s="70"/>
      <c r="X127" s="54"/>
      <c r="Y127" s="74">
        <f>'Dépenses BP 2017'!BJ130*Z127</f>
        <v>0</v>
      </c>
      <c r="Z127" s="90">
        <f>$Z$6/$BJ$6</f>
        <v>0</v>
      </c>
      <c r="AA127" s="74">
        <f>'Dépenses BP 2017'!BJ130*AB127</f>
        <v>0</v>
      </c>
      <c r="AB127" s="90">
        <f>$AB$6/$BJ$6</f>
        <v>0</v>
      </c>
      <c r="AC127" s="74">
        <f>'Dépenses BP 2017'!BJ130*AD127</f>
        <v>288.59780978167385</v>
      </c>
      <c r="AD127" s="90">
        <f>$AD$6/$BJ$6</f>
        <v>4.1228258540239121E-2</v>
      </c>
      <c r="AE127" s="128"/>
      <c r="AF127" s="128"/>
      <c r="AG127" s="74">
        <f>'Dépenses BP 2017'!BJ130*AH127</f>
        <v>342.43137713320772</v>
      </c>
      <c r="AH127" s="90">
        <f>$AH$6/$BJ$6</f>
        <v>4.8918768161886818E-2</v>
      </c>
      <c r="AI127" s="74">
        <f>'Dépenses BP 2017'!BJ130*AJ127</f>
        <v>31.130125193927974</v>
      </c>
      <c r="AJ127" s="90">
        <f>$AJ$6/$BJ$6</f>
        <v>4.4471607419897105E-3</v>
      </c>
      <c r="AK127" s="74">
        <f>'Dépenses BP 2017'!BJ130*AL127</f>
        <v>0.26093715653624799</v>
      </c>
      <c r="AL127" s="90">
        <f>$AL$6/$BJ$6</f>
        <v>3.7276736648035431E-5</v>
      </c>
      <c r="AM127" s="74">
        <f>'Dépenses BP 2017'!BJ130*AN127</f>
        <v>47.144610428719005</v>
      </c>
      <c r="AN127" s="90">
        <f>$AN$6/$BJ$6</f>
        <v>6.7349443469598581E-3</v>
      </c>
      <c r="AO127" s="74">
        <f>'Dépenses BP 2017'!BJ130*AP127</f>
        <v>77.825312984819931</v>
      </c>
      <c r="AP127" s="342">
        <f>$AP$6/$BJ$6</f>
        <v>1.1117901854974277E-2</v>
      </c>
      <c r="AQ127" s="75">
        <f>'Dépenses BP 2017'!N130</f>
        <v>787.39017267888471</v>
      </c>
      <c r="AR127" s="90">
        <f>'Dépenses BP 2017'!O130</f>
        <v>0.11248431038269782</v>
      </c>
      <c r="AS127" s="207"/>
      <c r="AT127" s="54">
        <f>AQ127-(AC127+AG127+AI127+AK127+AM127+AO127)</f>
        <v>0</v>
      </c>
      <c r="AU127" s="74">
        <f>'Dépenses BP 2017'!BJ130*AV127</f>
        <v>285.34624346119722</v>
      </c>
      <c r="AV127" s="342">
        <f>$AV$6/$BJ$6</f>
        <v>4.076374906588532E-2</v>
      </c>
      <c r="AW127" s="74">
        <f>'Dépenses BP 2017'!BJ130*AX127</f>
        <v>5.4088590204455036</v>
      </c>
      <c r="AX127" s="342">
        <f t="shared" ref="AX127" si="61">$AX$6/$BJ$6</f>
        <v>7.726941457779291E-4</v>
      </c>
      <c r="AY127" s="75">
        <f>'Dépenses BP 2017'!Q130</f>
        <v>290.75510248164278</v>
      </c>
      <c r="AZ127" s="90">
        <f>'Dépenses BP 2017'!W130</f>
        <v>0</v>
      </c>
      <c r="BA127" s="207"/>
      <c r="BB127" s="211"/>
      <c r="BC127" s="79">
        <f>'Dépenses BP 2017'!Q130</f>
        <v>290.75510248164278</v>
      </c>
      <c r="BD127" s="89">
        <f>'Dépenses BP 2017'!R130</f>
        <v>4.1536443211663256E-2</v>
      </c>
      <c r="BE127" s="79"/>
      <c r="BF127" s="60"/>
      <c r="BG127" s="84">
        <f>'Dépenses BP 2017'!T130</f>
        <v>1471.8880061851021</v>
      </c>
      <c r="BH127" s="87">
        <f>'Dépenses BP 2017'!U130</f>
        <v>0.21026971516930029</v>
      </c>
      <c r="BI127" s="84"/>
      <c r="BJ127" s="205">
        <f t="shared" si="58"/>
        <v>0</v>
      </c>
      <c r="BK127" s="205"/>
    </row>
    <row r="128" spans="1:63">
      <c r="A128" s="68" t="str">
        <f>'Dépenses BP 2017'!A131</f>
        <v>TOTAL</v>
      </c>
      <c r="B128" s="64">
        <f>B124+B121+B90+B68+B62+B58+B6</f>
        <v>16899.485103534422</v>
      </c>
      <c r="C128" s="65" t="s">
        <v>41</v>
      </c>
      <c r="D128" s="64">
        <f>D124+D121+D90+D68+D62+D58+D6</f>
        <v>0</v>
      </c>
      <c r="E128" s="65" t="s">
        <v>41</v>
      </c>
      <c r="F128" s="64">
        <f>'Dépenses BP 2017'!B131</f>
        <v>16899.485103534418</v>
      </c>
      <c r="G128" s="65" t="str">
        <f>'Dépenses BP 2017'!C131</f>
        <v>/</v>
      </c>
      <c r="H128" s="65"/>
      <c r="I128" s="64">
        <f>'Dépenses BP 2017'!E131</f>
        <v>0</v>
      </c>
      <c r="J128" s="65" t="str">
        <f>'Dépenses BP 2017'!F131</f>
        <v>/</v>
      </c>
      <c r="K128" s="64">
        <f>'Dépenses BP 2017'!G131</f>
        <v>16899.485103534418</v>
      </c>
      <c r="L128" s="65" t="str">
        <f>'Dépenses BP 2017'!H131</f>
        <v>/</v>
      </c>
      <c r="M128" s="65" t="str">
        <f>'Dépenses BP 2017'!I131</f>
        <v>/</v>
      </c>
      <c r="N128" s="59"/>
      <c r="O128" s="71">
        <f>O124+O121+O90+O68+O62+O58+O6</f>
        <v>29911.414315801994</v>
      </c>
      <c r="P128" s="72" t="str">
        <f>'Dépenses BP 2017'!H131</f>
        <v>/</v>
      </c>
      <c r="Q128" s="71">
        <f>Q124+Q121+Q90+Q68+Q62+Q58+Q6</f>
        <v>9576.6008474636092</v>
      </c>
      <c r="R128" s="72" t="s">
        <v>41</v>
      </c>
      <c r="S128" s="71">
        <f>S124+S121+S90+S68+S62+S58+S6</f>
        <v>2793.6947158675812</v>
      </c>
      <c r="T128" s="72" t="s">
        <v>41</v>
      </c>
      <c r="U128" s="71">
        <f>'Dépenses BP 2017'!K131</f>
        <v>42281.709879133188</v>
      </c>
      <c r="V128" s="72" t="str">
        <f>'Dépenses BP 2017'!L131</f>
        <v>/</v>
      </c>
      <c r="W128" s="72" t="str">
        <f>'Dépenses BP 2017'!M131</f>
        <v>/</v>
      </c>
      <c r="X128" s="55"/>
      <c r="Y128" s="76">
        <f>Y124+Y121+Y90+Y68+Y62+Y58+Y6</f>
        <v>0</v>
      </c>
      <c r="Z128" s="76"/>
      <c r="AA128" s="76">
        <f>AA124+AA121+AA90+AA68+AA62+AA58+AA6</f>
        <v>0</v>
      </c>
      <c r="AB128" s="76"/>
      <c r="AC128" s="76">
        <f>AC124+AC121+AC90+AC68+AC62+AC58+AC6</f>
        <v>41180.314263544627</v>
      </c>
      <c r="AD128" s="76"/>
      <c r="AE128" s="214">
        <f>AE124+AE121+AE90+AE68+AE62+AE58+AE6</f>
        <v>0</v>
      </c>
      <c r="AF128" s="214"/>
      <c r="AG128" s="76">
        <f>AG124+AG121+AG90+AG68+AG62+AG58+AG6</f>
        <v>35820.408875703026</v>
      </c>
      <c r="AH128" s="76"/>
      <c r="AI128" s="76">
        <f>AI124+AI121+AI90+AI68+AI62+AI58+AI6</f>
        <v>5367.9215390974759</v>
      </c>
      <c r="AJ128" s="76"/>
      <c r="AK128" s="76">
        <f>AK124+AK121+AK90+AK68+AK62+AK58+AK6</f>
        <v>32.636569773253647</v>
      </c>
      <c r="AL128" s="215"/>
      <c r="AM128" s="76">
        <f>AM124+AM121+AM90+AM68+AM62+AM58+AM6</f>
        <v>5991.3707902399101</v>
      </c>
      <c r="AN128" s="215"/>
      <c r="AO128" s="76">
        <f>AO124+AO121+AO90+AO68+AO62+AO58+AO6</f>
        <v>12167.902448026998</v>
      </c>
      <c r="AP128" s="76"/>
      <c r="AQ128" s="76">
        <f>'Dépenses BP 2017'!N131</f>
        <v>100560.55448638528</v>
      </c>
      <c r="AR128" s="77" t="str">
        <f>'Dépenses BP 2017'!O131</f>
        <v>/</v>
      </c>
      <c r="AS128" s="208" t="str">
        <f>'Dépenses BP 2017'!P131</f>
        <v>/</v>
      </c>
      <c r="AT128" s="55"/>
      <c r="AU128" s="76">
        <f>AU124+AU121+AU90+AU68+AU62+AU58+AU6</f>
        <v>39791.867518325591</v>
      </c>
      <c r="AV128" s="76"/>
      <c r="AW128" s="76">
        <f>AW124+AW121+AW90+AW68+AW62+AW58+AW6</f>
        <v>733.62311099985641</v>
      </c>
      <c r="AX128" s="76"/>
      <c r="AY128" s="76">
        <f>'Dépenses BP 2017'!Q131</f>
        <v>40525.490629325446</v>
      </c>
      <c r="AZ128" s="76" t="str">
        <f>'Dépenses BP 2017'!R131</f>
        <v>/</v>
      </c>
      <c r="BA128" s="76" t="str">
        <f>'Dépenses BP 2017'!S131</f>
        <v>/</v>
      </c>
      <c r="BB128" s="211"/>
      <c r="BC128" s="80">
        <f>'Dépenses BP 2017'!Q131</f>
        <v>40525.490629325446</v>
      </c>
      <c r="BD128" s="81" t="str">
        <f>'Dépenses BP 2017'!R131</f>
        <v>/</v>
      </c>
      <c r="BE128" s="81" t="str">
        <f>'Dépenses BP 2017'!S131</f>
        <v>/</v>
      </c>
      <c r="BF128" s="55"/>
      <c r="BG128" s="85">
        <f>'Dépenses BP 2017'!T131</f>
        <v>200267.24009837833</v>
      </c>
      <c r="BH128" s="85" t="str">
        <f>'Dépenses BP 2017'!U131</f>
        <v>/</v>
      </c>
      <c r="BI128" s="86" t="str">
        <f>'Dépenses BP 2017'!V131</f>
        <v>/</v>
      </c>
      <c r="BJ128" s="205">
        <f t="shared" si="58"/>
        <v>0</v>
      </c>
    </row>
    <row r="129" spans="2:59">
      <c r="D129" s="205"/>
      <c r="AN129" s="91"/>
      <c r="AO129" s="91"/>
      <c r="AP129" s="91"/>
      <c r="AQ129" s="91"/>
      <c r="AR129" s="91"/>
      <c r="AS129" s="91"/>
      <c r="AU129" s="91"/>
      <c r="AV129" s="91"/>
      <c r="AW129" s="91"/>
      <c r="AX129" s="91"/>
      <c r="AY129" s="91"/>
      <c r="AZ129" s="91"/>
      <c r="BA129" s="91"/>
    </row>
    <row r="130" spans="2:59">
      <c r="B130" s="205"/>
      <c r="K130" s="205"/>
      <c r="U130" s="205"/>
      <c r="AC130" s="205"/>
      <c r="AD130" s="205"/>
      <c r="AG130">
        <v>36813.18</v>
      </c>
      <c r="BG130" s="210"/>
    </row>
    <row r="131" spans="2:59">
      <c r="AD131" s="205"/>
    </row>
    <row r="134" spans="2:59">
      <c r="AC134" s="276"/>
      <c r="AD134" s="274"/>
    </row>
    <row r="135" spans="2:59">
      <c r="AC135" s="276"/>
      <c r="AD135" s="274"/>
    </row>
    <row r="136" spans="2:59">
      <c r="AC136" s="275"/>
      <c r="AD136" s="283"/>
    </row>
    <row r="138" spans="2:59">
      <c r="AC138" s="210"/>
      <c r="AD138" s="282"/>
      <c r="AE138"/>
      <c r="AF138"/>
    </row>
    <row r="139" spans="2:59">
      <c r="AC139" s="276"/>
      <c r="AD139" s="282"/>
      <c r="AE139"/>
      <c r="AF139"/>
    </row>
    <row r="140" spans="2:59">
      <c r="AE140"/>
      <c r="AF140"/>
    </row>
  </sheetData>
  <mergeCells count="30">
    <mergeCell ref="F5:H5"/>
    <mergeCell ref="U5:W5"/>
    <mergeCell ref="BG3:BI5"/>
    <mergeCell ref="O3:W4"/>
    <mergeCell ref="Q5:R5"/>
    <mergeCell ref="AG5:AH5"/>
    <mergeCell ref="AE5:AF5"/>
    <mergeCell ref="AO5:AP5"/>
    <mergeCell ref="S5:T5"/>
    <mergeCell ref="AU5:AV5"/>
    <mergeCell ref="AW5:AX5"/>
    <mergeCell ref="AC3:AS4"/>
    <mergeCell ref="AQ5:AS5"/>
    <mergeCell ref="AU3:BA4"/>
    <mergeCell ref="A3:A5"/>
    <mergeCell ref="AM5:AN5"/>
    <mergeCell ref="BC5:BE5"/>
    <mergeCell ref="BC3:BE4"/>
    <mergeCell ref="AY5:BA5"/>
    <mergeCell ref="Y5:Z5"/>
    <mergeCell ref="AA5:AB5"/>
    <mergeCell ref="AC5:AD5"/>
    <mergeCell ref="AI5:AJ5"/>
    <mergeCell ref="AK5:AL5"/>
    <mergeCell ref="I5:J5"/>
    <mergeCell ref="O5:P5"/>
    <mergeCell ref="K5:M5"/>
    <mergeCell ref="B5:C5"/>
    <mergeCell ref="D5:E5"/>
    <mergeCell ref="B3:H4"/>
  </mergeCells>
  <pageMargins left="0.7" right="0.7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zoomScale="80" zoomScaleNormal="8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V32" sqref="V32"/>
    </sheetView>
  </sheetViews>
  <sheetFormatPr baseColWidth="10" defaultColWidth="11.42578125" defaultRowHeight="12.75"/>
  <cols>
    <col min="1" max="1" width="38.42578125" customWidth="1"/>
    <col min="2" max="4" width="12.5703125" customWidth="1"/>
    <col min="5" max="5" width="1.85546875" customWidth="1"/>
    <col min="6" max="8" width="14.28515625" customWidth="1"/>
    <col min="9" max="9" width="14" customWidth="1"/>
    <col min="10" max="10" width="1.85546875" customWidth="1"/>
    <col min="11" max="13" width="11.5703125" customWidth="1"/>
    <col min="14" max="14" width="10.42578125" style="135" customWidth="1"/>
    <col min="15" max="15" width="11.42578125" customWidth="1"/>
    <col min="16" max="19" width="11.5703125" customWidth="1"/>
    <col min="20" max="20" width="12" customWidth="1"/>
    <col min="21" max="21" width="2" customWidth="1"/>
    <col min="22" max="23" width="11.5703125" customWidth="1"/>
    <col min="24" max="24" width="12" customWidth="1"/>
    <col min="25" max="25" width="2" customWidth="1"/>
    <col min="26" max="27" width="17" customWidth="1"/>
    <col min="28" max="28" width="14.28515625" bestFit="1" customWidth="1"/>
  </cols>
  <sheetData>
    <row r="1" spans="1:28">
      <c r="A1" t="e">
        <f>'Dépenses BP 2017'!#REF!</f>
        <v>#REF!</v>
      </c>
      <c r="R1" s="123"/>
      <c r="S1" s="123"/>
      <c r="V1" s="123"/>
      <c r="W1" s="123"/>
    </row>
    <row r="2" spans="1:28">
      <c r="R2" s="123"/>
      <c r="S2" s="123"/>
      <c r="V2" s="123"/>
      <c r="W2" s="123"/>
    </row>
    <row r="3" spans="1:28" ht="25.5" customHeight="1">
      <c r="A3" s="1968" t="e">
        <f>'Dépenses BP 2017'!#REF!</f>
        <v>#REF!</v>
      </c>
      <c r="B3" s="1979" t="str">
        <f>'Dépenses BP 2017'!B5</f>
        <v>Appel à projet GPEC-T</v>
      </c>
      <c r="C3" s="1979"/>
      <c r="D3" s="1979"/>
      <c r="E3" s="51"/>
      <c r="F3" s="1991" t="str">
        <f>'Dépenses BP 2017'!K5</f>
        <v>Anticipation des mutations économiques</v>
      </c>
      <c r="G3" s="1992"/>
      <c r="H3" s="1992"/>
      <c r="I3" s="1992"/>
      <c r="J3" s="51"/>
      <c r="K3" s="1507" t="str">
        <f>'Dépenses BP 2017'!N5</f>
        <v>Développement de l'emploi local</v>
      </c>
      <c r="L3" s="1508"/>
      <c r="M3" s="1990" t="str">
        <f>'Dépenses BP 2017'!N5</f>
        <v>Développement de l'emploi local</v>
      </c>
      <c r="N3" s="1990"/>
      <c r="O3" s="1990"/>
      <c r="P3" s="1990"/>
      <c r="Q3" s="1990"/>
      <c r="R3" s="1990"/>
      <c r="S3" s="1990"/>
      <c r="T3" s="1990"/>
      <c r="U3" s="52"/>
      <c r="V3" s="1995" t="str">
        <f>'Ss-bdt MDE - Dep'!AU3</f>
        <v>XX</v>
      </c>
      <c r="W3" s="1995"/>
      <c r="X3" s="1996"/>
      <c r="AB3" s="1982" t="str">
        <f>'Dépenses BP 2017'!T5</f>
        <v>S/Total MdE 
Conv° Etat 70%-30%</v>
      </c>
    </row>
    <row r="4" spans="1:28">
      <c r="A4" s="1968"/>
      <c r="B4" s="1979"/>
      <c r="C4" s="1979"/>
      <c r="D4" s="1979"/>
      <c r="E4" s="51"/>
      <c r="F4" s="1993"/>
      <c r="G4" s="1994"/>
      <c r="H4" s="1994"/>
      <c r="I4" s="1994"/>
      <c r="J4" s="51"/>
      <c r="K4" s="1509"/>
      <c r="L4" s="1510"/>
      <c r="M4" s="1990"/>
      <c r="N4" s="1990"/>
      <c r="O4" s="1990"/>
      <c r="P4" s="1990"/>
      <c r="Q4" s="1990"/>
      <c r="R4" s="1990"/>
      <c r="S4" s="1990"/>
      <c r="T4" s="1990"/>
      <c r="U4" s="52"/>
      <c r="V4" s="1997"/>
      <c r="W4" s="1997"/>
      <c r="X4" s="1998"/>
      <c r="AB4" s="1982"/>
    </row>
    <row r="5" spans="1:28" ht="64.5" customHeight="1">
      <c r="A5" s="1968"/>
      <c r="B5" s="1733" t="str">
        <f>'Ss-bdt MDE - Dep'!B5</f>
        <v>Groupe RH</v>
      </c>
      <c r="C5" s="1733" t="str">
        <f>'Ss-bdt MDE - Dep'!D5</f>
        <v>xxxx</v>
      </c>
      <c r="D5" s="1733" t="str">
        <f>'Ss-bdt MDE - Dep'!F5</f>
        <v>Total GPEC-T</v>
      </c>
      <c r="E5" s="56"/>
      <c r="F5" s="1734" t="str">
        <f>'Ss-bdt MDE - Dep'!O5</f>
        <v>Revitalisation et mutations économiques</v>
      </c>
      <c r="G5" s="1736" t="str">
        <f>'Ss-bdt MDE - Dep'!Q5</f>
        <v>GPEC-T intersectorielle</v>
      </c>
      <c r="H5" s="1736" t="str">
        <f>'Ss-bdt MDE - Dep'!S5</f>
        <v>GPEC-T s.a.p.</v>
      </c>
      <c r="I5" s="1735" t="str">
        <f>'Ss-bdt MDE - Dep'!U5</f>
        <v>Total axe 1</v>
      </c>
      <c r="J5" s="56"/>
      <c r="K5" s="1731" t="s">
        <v>267</v>
      </c>
      <c r="L5" s="1731" t="s">
        <v>268</v>
      </c>
      <c r="M5" s="1731" t="str">
        <f>'Ss-bdt MDE - Dep'!AC5</f>
        <v>Comité Technique d'Orientation</v>
      </c>
      <c r="N5" s="136" t="s">
        <v>270</v>
      </c>
      <c r="O5" s="1737" t="str">
        <f>'Ss-bdt MDE - Dep'!AG5</f>
        <v>SPRO</v>
      </c>
      <c r="P5" s="1731" t="str">
        <f>'Ss-bdt MDE - Dep'!AI5</f>
        <v>CTO =&gt; Création d'entreprises
(contrat de ville)</v>
      </c>
      <c r="Q5" s="1731" t="str">
        <f>'Ss-bdt MDE - Dep'!AK5</f>
        <v>-</v>
      </c>
      <c r="R5" s="1731" t="str">
        <f>'Ss-bdt MDE - Dep'!AM5</f>
        <v>PRC – VAE</v>
      </c>
      <c r="S5" s="1731" t="str">
        <f>'Ss-bdt MDE - Dep'!AO5</f>
        <v>Pilotage des clauses sociales Thouars</v>
      </c>
      <c r="T5" s="1731" t="str">
        <f>'Ss-bdt MDE - Dep'!AQ5</f>
        <v>Total axe 2</v>
      </c>
      <c r="U5" s="56"/>
      <c r="V5" s="1731" t="str">
        <f>'Ss-bdt MDE - Dep'!AU5</f>
        <v>Clauses sociales
Thouars - Bressuire</v>
      </c>
      <c r="W5" s="1731" t="str">
        <f>'Ss-bdt MDE - Dep'!AW5</f>
        <v>Clauses sociales
Loudun</v>
      </c>
      <c r="X5" s="1731" t="str">
        <f>'Ss-bdt MDE - Dep'!AY5</f>
        <v>Total axe 2</v>
      </c>
      <c r="AB5" s="1982"/>
    </row>
    <row r="6" spans="1:28">
      <c r="A6" s="66" t="str">
        <f>'Recettes BP 2017'!A6</f>
        <v>ETAT/DIRECCTE</v>
      </c>
      <c r="B6" s="62">
        <f>SUM(B7:B14)</f>
        <v>10379.56387345853</v>
      </c>
      <c r="C6" s="62">
        <f>SUM(C7:C14)</f>
        <v>0</v>
      </c>
      <c r="D6" s="62">
        <f>SUM(B6:C6)</f>
        <v>10379.56387345853</v>
      </c>
      <c r="E6" s="57"/>
      <c r="F6" s="62">
        <f>SUM(F7:F14)</f>
        <v>0</v>
      </c>
      <c r="G6" s="62">
        <f>SUM(G7:G14)</f>
        <v>8438.3224569851918</v>
      </c>
      <c r="H6" s="62">
        <f>SUM(H7:H14)</f>
        <v>2461.6351077334439</v>
      </c>
      <c r="I6" s="62">
        <f>SUM(F6:H6)</f>
        <v>10899.957564718636</v>
      </c>
      <c r="J6" s="53"/>
      <c r="K6" s="62"/>
      <c r="L6" s="62"/>
      <c r="M6" s="62">
        <f>SUM(M7:M18)</f>
        <v>36285.606570708303</v>
      </c>
      <c r="N6" s="62">
        <f t="shared" ref="N6:S6" si="0">SUM(N7:N18)</f>
        <v>0</v>
      </c>
      <c r="O6" s="62"/>
      <c r="P6" s="62">
        <f t="shared" si="0"/>
        <v>4000</v>
      </c>
      <c r="Q6" s="62">
        <f t="shared" si="0"/>
        <v>0</v>
      </c>
      <c r="R6" s="62"/>
      <c r="S6" s="62">
        <f t="shared" si="0"/>
        <v>10721.620971472934</v>
      </c>
      <c r="T6" s="73">
        <f>SUM(K6:S6)</f>
        <v>51007.227542181237</v>
      </c>
      <c r="U6" s="53"/>
      <c r="V6" s="62">
        <f>SUM(V7:V14)</f>
        <v>13791.867518325591</v>
      </c>
      <c r="W6" s="62">
        <f>SUM(W7:W14)</f>
        <v>0</v>
      </c>
      <c r="X6" s="73">
        <f>SUM(V6:W6)</f>
        <v>13791.867518325591</v>
      </c>
      <c r="AB6" s="73">
        <f>'Recettes BP 2017'!H6</f>
        <v>86107.37</v>
      </c>
    </row>
    <row r="7" spans="1:28">
      <c r="A7" s="1584" t="str">
        <f>'Recettes BP 2017'!A7</f>
        <v>CPO MEF – Fonctionnement</v>
      </c>
      <c r="B7" s="61"/>
      <c r="C7" s="61"/>
      <c r="D7" s="61"/>
      <c r="E7" s="58"/>
      <c r="F7" s="69">
        <f>'Ss-bgt MDE - Synthèse'!D23</f>
        <v>0</v>
      </c>
      <c r="G7" s="69">
        <f>'Ss-bgt MDE - Synthèse'!E23</f>
        <v>8438.3224569851918</v>
      </c>
      <c r="H7" s="69">
        <f>'Ss-bgt MDE - Synthèse'!F23</f>
        <v>2461.6351077334439</v>
      </c>
      <c r="I7" s="69">
        <f>SUM(F7:H7)</f>
        <v>10899.957564718636</v>
      </c>
      <c r="J7" s="54"/>
      <c r="K7" s="132"/>
      <c r="L7" s="132"/>
      <c r="M7" s="132">
        <f>'Ss-bgt MDE - Synthèse'!I23</f>
        <v>36285.606570708303</v>
      </c>
      <c r="N7" s="132"/>
      <c r="O7" s="132"/>
      <c r="P7" s="132"/>
      <c r="Q7" s="132">
        <f>'Ss-bgt MDE - Synthèse'!L23</f>
        <v>0</v>
      </c>
      <c r="R7" s="132"/>
      <c r="S7" s="132">
        <f>'Ss-bgt MDE - Synthèse'!N23</f>
        <v>10721.620971472934</v>
      </c>
      <c r="T7" s="74">
        <f>SUM(K7:S7)</f>
        <v>47007.227542181237</v>
      </c>
      <c r="U7" s="54"/>
      <c r="V7" s="132"/>
      <c r="W7" s="132"/>
      <c r="X7" s="74">
        <f>SUM(V7:W7)</f>
        <v>0</v>
      </c>
      <c r="AB7" s="82">
        <f>'Recettes BP 2017'!H7</f>
        <v>71727.81</v>
      </c>
    </row>
    <row r="8" spans="1:28">
      <c r="A8" s="1584" t="str">
        <f>'Recettes BP 2017'!A8</f>
        <v>Fonds spécifiques clauses sociales</v>
      </c>
      <c r="B8" s="61"/>
      <c r="C8" s="61"/>
      <c r="D8" s="61"/>
      <c r="E8" s="58"/>
      <c r="F8" s="69"/>
      <c r="G8" s="69"/>
      <c r="H8" s="69"/>
      <c r="I8" s="69"/>
      <c r="J8" s="54"/>
      <c r="K8" s="132"/>
      <c r="L8" s="132"/>
      <c r="M8" s="132"/>
      <c r="N8" s="132"/>
      <c r="O8" s="132"/>
      <c r="P8" s="132"/>
      <c r="Q8" s="132"/>
      <c r="R8" s="132"/>
      <c r="S8" s="132"/>
      <c r="T8" s="74"/>
      <c r="U8" s="54"/>
      <c r="V8" s="132">
        <f>'Ss-bgt MDE - Synthèse'!P23</f>
        <v>13791.867518325591</v>
      </c>
      <c r="W8" s="132"/>
      <c r="X8" s="74">
        <f>SUM(V8:W8)</f>
        <v>13791.867518325591</v>
      </c>
      <c r="AB8" s="82">
        <f>'Recettes BP 2017'!H8</f>
        <v>0</v>
      </c>
    </row>
    <row r="9" spans="1:28">
      <c r="A9" s="1584" t="str">
        <f>'Recettes BP 2017'!A9</f>
        <v>CPO ML - "socle"</v>
      </c>
      <c r="B9" s="61"/>
      <c r="C9" s="61"/>
      <c r="D9" s="61"/>
      <c r="E9" s="58"/>
      <c r="F9" s="69"/>
      <c r="G9" s="69"/>
      <c r="H9" s="69"/>
      <c r="I9" s="69"/>
      <c r="J9" s="54"/>
      <c r="K9" s="132"/>
      <c r="L9" s="132"/>
      <c r="M9" s="132"/>
      <c r="N9" s="138"/>
      <c r="O9" s="133"/>
      <c r="P9" s="133"/>
      <c r="Q9" s="133"/>
      <c r="R9" s="133"/>
      <c r="S9" s="133"/>
      <c r="T9" s="74"/>
      <c r="U9" s="54"/>
      <c r="V9" s="133"/>
      <c r="W9" s="133"/>
      <c r="X9" s="74"/>
      <c r="AB9" s="82"/>
    </row>
    <row r="10" spans="1:28">
      <c r="A10" s="1584" t="str">
        <f>'Recettes BP 2017'!A10</f>
        <v>Parrainage</v>
      </c>
      <c r="B10" s="61"/>
      <c r="C10" s="61"/>
      <c r="D10" s="61"/>
      <c r="E10" s="58"/>
      <c r="F10" s="69"/>
      <c r="G10" s="69"/>
      <c r="H10" s="69"/>
      <c r="I10" s="69"/>
      <c r="J10" s="54"/>
      <c r="K10" s="132"/>
      <c r="L10" s="132"/>
      <c r="M10" s="132"/>
      <c r="N10" s="138"/>
      <c r="O10" s="133"/>
      <c r="P10" s="133"/>
      <c r="Q10" s="133"/>
      <c r="R10" s="133"/>
      <c r="S10" s="133"/>
      <c r="T10" s="74"/>
      <c r="U10" s="54"/>
      <c r="V10" s="133"/>
      <c r="W10" s="133"/>
      <c r="X10" s="74"/>
      <c r="AB10" s="82"/>
    </row>
    <row r="11" spans="1:28">
      <c r="A11" s="1584" t="str">
        <f>'Recettes BP 2017'!A11</f>
        <v>Convention « Promotion de l'emploi »</v>
      </c>
      <c r="B11" s="61"/>
      <c r="C11" s="61"/>
      <c r="D11" s="61"/>
      <c r="E11" s="58"/>
      <c r="F11" s="69"/>
      <c r="G11" s="69"/>
      <c r="H11" s="69"/>
      <c r="I11" s="69"/>
      <c r="J11" s="54"/>
      <c r="K11" s="132"/>
      <c r="L11" s="132"/>
      <c r="M11" s="132"/>
      <c r="N11" s="138"/>
      <c r="O11" s="133"/>
      <c r="P11" s="133"/>
      <c r="Q11" s="133"/>
      <c r="R11" s="133"/>
      <c r="S11" s="133"/>
      <c r="T11" s="74"/>
      <c r="U11" s="54"/>
      <c r="V11" s="133"/>
      <c r="W11" s="133"/>
      <c r="X11" s="74"/>
      <c r="AB11" s="82"/>
    </row>
    <row r="12" spans="1:28">
      <c r="A12" s="1584" t="str">
        <f>'Recettes BP 2017'!A12</f>
        <v>Appel à projet GPEC-T</v>
      </c>
      <c r="B12" s="61">
        <f>'Ss-bgt MDE - Synthèse'!B23</f>
        <v>10379.56387345853</v>
      </c>
      <c r="C12" s="61">
        <f>'Ss-bgt MDE - Synthèse'!C23</f>
        <v>0</v>
      </c>
      <c r="D12" s="61">
        <f>SUM(B12:C12)</f>
        <v>10379.56387345853</v>
      </c>
      <c r="E12" s="58"/>
      <c r="F12" s="69"/>
      <c r="G12" s="69"/>
      <c r="H12" s="69"/>
      <c r="I12" s="69"/>
      <c r="J12" s="54"/>
      <c r="K12" s="132"/>
      <c r="L12" s="132"/>
      <c r="M12" s="132"/>
      <c r="N12" s="138"/>
      <c r="O12" s="133"/>
      <c r="P12" s="133"/>
      <c r="Q12" s="133"/>
      <c r="R12" s="133"/>
      <c r="S12" s="133"/>
      <c r="T12" s="74"/>
      <c r="U12" s="54"/>
      <c r="V12" s="133"/>
      <c r="W12" s="133"/>
      <c r="X12" s="74"/>
      <c r="AB12" s="82">
        <f>'Recettes BP 2017'!H12</f>
        <v>10379.56</v>
      </c>
    </row>
    <row r="13" spans="1:28">
      <c r="A13" s="1584" t="str">
        <f>'Recettes BP 2017'!A13</f>
        <v>GPEC territoriale - EDEC</v>
      </c>
      <c r="B13" s="61"/>
      <c r="C13" s="61"/>
      <c r="D13" s="61"/>
      <c r="E13" s="58"/>
      <c r="F13" s="69"/>
      <c r="G13" s="69"/>
      <c r="H13" s="69"/>
      <c r="I13" s="69"/>
      <c r="J13" s="54"/>
      <c r="K13" s="132"/>
      <c r="L13" s="132"/>
      <c r="M13" s="132"/>
      <c r="N13" s="138"/>
      <c r="O13" s="133"/>
      <c r="P13" s="133"/>
      <c r="Q13" s="133"/>
      <c r="R13" s="133"/>
      <c r="S13" s="133"/>
      <c r="T13" s="74"/>
      <c r="U13" s="54"/>
      <c r="V13" s="133"/>
      <c r="W13" s="133"/>
      <c r="X13" s="74"/>
      <c r="AB13" s="82"/>
    </row>
    <row r="14" spans="1:28">
      <c r="A14" s="1584" t="str">
        <f>'Recettes BP 2017'!A14</f>
        <v>Emploi d'Avenir</v>
      </c>
      <c r="B14" s="61"/>
      <c r="C14" s="61"/>
      <c r="D14" s="61"/>
      <c r="E14" s="58"/>
      <c r="F14" s="69"/>
      <c r="G14" s="69"/>
      <c r="H14" s="69"/>
      <c r="I14" s="69"/>
      <c r="J14" s="54"/>
      <c r="K14" s="132"/>
      <c r="L14" s="132"/>
      <c r="M14" s="132"/>
      <c r="N14" s="138"/>
      <c r="O14" s="133"/>
      <c r="P14" s="133"/>
      <c r="Q14" s="133"/>
      <c r="R14" s="133"/>
      <c r="S14" s="133"/>
      <c r="T14" s="74"/>
      <c r="U14" s="54"/>
      <c r="V14" s="133"/>
      <c r="W14" s="133"/>
      <c r="X14" s="74"/>
      <c r="AB14" s="82"/>
    </row>
    <row r="15" spans="1:28">
      <c r="A15" s="1584" t="str">
        <f>'Recettes BP 2017'!A15</f>
        <v>Réussite apprentissage</v>
      </c>
      <c r="B15" s="61"/>
      <c r="C15" s="61"/>
      <c r="D15" s="61"/>
      <c r="E15" s="58"/>
      <c r="F15" s="69"/>
      <c r="G15" s="69"/>
      <c r="H15" s="69"/>
      <c r="I15" s="69"/>
      <c r="J15" s="54"/>
      <c r="K15" s="132"/>
      <c r="L15" s="132"/>
      <c r="M15" s="132"/>
      <c r="N15" s="138"/>
      <c r="O15" s="133"/>
      <c r="P15" s="133"/>
      <c r="Q15" s="133"/>
      <c r="R15" s="133"/>
      <c r="S15" s="133"/>
      <c r="T15" s="74"/>
      <c r="U15" s="54"/>
      <c r="V15" s="133"/>
      <c r="W15" s="133"/>
      <c r="X15" s="74"/>
      <c r="AB15" s="82"/>
    </row>
    <row r="16" spans="1:28">
      <c r="A16" s="1584" t="str">
        <f>'Recettes BP 2017'!A16</f>
        <v>Garantie Jeune 2016 (sorties)</v>
      </c>
      <c r="B16" s="61"/>
      <c r="C16" s="61"/>
      <c r="D16" s="61"/>
      <c r="E16" s="58"/>
      <c r="F16" s="69"/>
      <c r="G16" s="69"/>
      <c r="H16" s="69"/>
      <c r="I16" s="69"/>
      <c r="J16" s="54"/>
      <c r="K16" s="132"/>
      <c r="L16" s="132"/>
      <c r="M16" s="132"/>
      <c r="N16" s="138"/>
      <c r="O16" s="133"/>
      <c r="P16" s="133"/>
      <c r="Q16" s="133"/>
      <c r="R16" s="133"/>
      <c r="S16" s="133"/>
      <c r="T16" s="74"/>
      <c r="U16" s="54"/>
      <c r="V16" s="133"/>
      <c r="W16" s="133"/>
      <c r="X16" s="74"/>
      <c r="AB16" s="82"/>
    </row>
    <row r="17" spans="1:29">
      <c r="A17" s="1584" t="str">
        <f>'Recettes BP 2017'!A17</f>
        <v>Garantie Jeune 2017 (entrées)</v>
      </c>
      <c r="B17" s="61"/>
      <c r="C17" s="61"/>
      <c r="D17" s="61"/>
      <c r="E17" s="58"/>
      <c r="F17" s="69"/>
      <c r="G17" s="69"/>
      <c r="H17" s="69"/>
      <c r="I17" s="69"/>
      <c r="J17" s="54"/>
      <c r="K17" s="132"/>
      <c r="L17" s="132"/>
      <c r="M17" s="132"/>
      <c r="N17" s="138"/>
      <c r="O17" s="133"/>
      <c r="P17" s="133"/>
      <c r="Q17" s="133"/>
      <c r="R17" s="133"/>
      <c r="S17" s="133"/>
      <c r="T17" s="74"/>
      <c r="U17" s="54"/>
      <c r="V17" s="133"/>
      <c r="W17" s="133"/>
      <c r="X17" s="74"/>
      <c r="AB17" s="82"/>
    </row>
    <row r="18" spans="1:29">
      <c r="A18" s="1584" t="str">
        <f>'Recettes BP 2017'!A18</f>
        <v>CGET - Contrat de ville</v>
      </c>
      <c r="B18" s="61"/>
      <c r="C18" s="61"/>
      <c r="D18" s="61"/>
      <c r="E18" s="58"/>
      <c r="F18" s="69"/>
      <c r="G18" s="69"/>
      <c r="H18" s="69"/>
      <c r="I18" s="69"/>
      <c r="J18" s="54"/>
      <c r="K18" s="132"/>
      <c r="L18" s="132"/>
      <c r="M18" s="132">
        <f>'Ss-bgt MDE - Synthèse'!I27</f>
        <v>0</v>
      </c>
      <c r="N18" s="138"/>
      <c r="O18" s="133"/>
      <c r="P18" s="133">
        <f>'Ss-bgt MDE - Synthèse'!K27</f>
        <v>4000</v>
      </c>
      <c r="Q18" s="133"/>
      <c r="R18" s="133"/>
      <c r="S18" s="133"/>
      <c r="T18" s="74">
        <f>SUM(K18:S18)</f>
        <v>4000</v>
      </c>
      <c r="U18" s="54"/>
      <c r="V18" s="133"/>
      <c r="W18" s="133"/>
      <c r="X18" s="74"/>
      <c r="AB18" s="82">
        <f>'Recettes BP 2017'!H18</f>
        <v>4000</v>
      </c>
    </row>
    <row r="19" spans="1:29">
      <c r="A19" s="67" t="str">
        <f>'Recettes BP 2017'!A19</f>
        <v>Fonds Social Européen</v>
      </c>
      <c r="B19" s="62"/>
      <c r="C19" s="62"/>
      <c r="D19" s="62"/>
      <c r="E19" s="57"/>
      <c r="F19" s="73"/>
      <c r="G19" s="73"/>
      <c r="H19" s="73"/>
      <c r="I19" s="62"/>
      <c r="J19" s="53"/>
      <c r="K19" s="73"/>
      <c r="L19" s="73"/>
      <c r="M19" s="73"/>
      <c r="N19" s="137"/>
      <c r="O19" s="73">
        <f>SUM(O20:O23)</f>
        <v>22087.9</v>
      </c>
      <c r="P19" s="73"/>
      <c r="Q19" s="73"/>
      <c r="R19" s="73"/>
      <c r="S19" s="73"/>
      <c r="T19" s="73">
        <f>SUM(M19:S19)</f>
        <v>22087.9</v>
      </c>
      <c r="U19" s="53"/>
      <c r="V19" s="73"/>
      <c r="W19" s="73"/>
      <c r="X19" s="73">
        <f>SUM(V19:W19)</f>
        <v>0</v>
      </c>
      <c r="AB19" s="73">
        <f>'Recettes BP 2017'!H19</f>
        <v>0</v>
      </c>
    </row>
    <row r="20" spans="1:29">
      <c r="A20" s="1584" t="str">
        <f>'Recettes BP 2017'!A20</f>
        <v>Projet FSE ML</v>
      </c>
      <c r="B20" s="61"/>
      <c r="C20" s="61"/>
      <c r="D20" s="61"/>
      <c r="E20" s="58"/>
      <c r="F20" s="69"/>
      <c r="G20" s="69"/>
      <c r="H20" s="69"/>
      <c r="I20" s="69"/>
      <c r="J20" s="54"/>
      <c r="K20" s="74"/>
      <c r="L20" s="74"/>
      <c r="M20" s="74"/>
      <c r="N20" s="139"/>
      <c r="O20" s="74"/>
      <c r="P20" s="74"/>
      <c r="Q20" s="74"/>
      <c r="R20" s="74"/>
      <c r="S20" s="74"/>
      <c r="T20" s="74"/>
      <c r="U20" s="54"/>
      <c r="V20" s="74"/>
      <c r="W20" s="74"/>
      <c r="X20" s="74"/>
      <c r="AB20" s="82"/>
    </row>
    <row r="21" spans="1:29">
      <c r="A21" s="1584" t="str">
        <f>'Recettes BP 2017'!A21</f>
        <v>FSE GPEC-T</v>
      </c>
      <c r="B21" s="61"/>
      <c r="C21" s="61"/>
      <c r="D21" s="61"/>
      <c r="E21" s="58"/>
      <c r="F21" s="69"/>
      <c r="G21" s="69"/>
      <c r="H21" s="69"/>
      <c r="I21" s="69"/>
      <c r="J21" s="54"/>
      <c r="K21" s="74"/>
      <c r="L21" s="74"/>
      <c r="M21" s="74"/>
      <c r="N21" s="139"/>
      <c r="O21" s="74"/>
      <c r="P21" s="74"/>
      <c r="Q21" s="74"/>
      <c r="R21" s="74"/>
      <c r="S21" s="74"/>
      <c r="T21" s="74"/>
      <c r="U21" s="54"/>
      <c r="V21" s="74"/>
      <c r="W21" s="74"/>
      <c r="X21" s="74"/>
      <c r="AB21" s="82"/>
    </row>
    <row r="22" spans="1:29">
      <c r="A22" s="1584" t="str">
        <f>'Recettes BP 2017'!A22</f>
        <v>FSE-Clauses</v>
      </c>
      <c r="B22" s="61"/>
      <c r="C22" s="61"/>
      <c r="D22" s="61"/>
      <c r="E22" s="58"/>
      <c r="F22" s="69"/>
      <c r="G22" s="69"/>
      <c r="H22" s="69"/>
      <c r="I22" s="69"/>
      <c r="J22" s="54"/>
      <c r="K22" s="74"/>
      <c r="L22" s="74"/>
      <c r="M22" s="74"/>
      <c r="N22" s="139"/>
      <c r="O22" s="74"/>
      <c r="P22" s="74"/>
      <c r="Q22" s="74"/>
      <c r="R22" s="74"/>
      <c r="S22" s="74"/>
      <c r="T22" s="74"/>
      <c r="U22" s="54"/>
      <c r="V22" s="132">
        <f>'Ss-bgt MDE - Synthèse'!P25</f>
        <v>0</v>
      </c>
      <c r="W22" s="132"/>
      <c r="X22" s="74">
        <f>SUM(V22:W22)</f>
        <v>0</v>
      </c>
      <c r="AB22" s="82">
        <f>'Recettes BP 2017'!H22</f>
        <v>0</v>
      </c>
    </row>
    <row r="23" spans="1:29">
      <c r="A23" s="1584" t="str">
        <f>'Recettes BP 2017'!A23</f>
        <v>FSE-SPRO</v>
      </c>
      <c r="B23" s="61"/>
      <c r="C23" s="61"/>
      <c r="D23" s="61"/>
      <c r="E23" s="58"/>
      <c r="F23" s="69"/>
      <c r="G23" s="69"/>
      <c r="H23" s="69"/>
      <c r="I23" s="69"/>
      <c r="J23" s="54"/>
      <c r="K23" s="74"/>
      <c r="L23" s="74"/>
      <c r="M23" s="74"/>
      <c r="N23" s="139"/>
      <c r="O23" s="74">
        <f>'Ss-bgt MDE - Synthèse'!J25</f>
        <v>22087.9</v>
      </c>
      <c r="P23" s="74"/>
      <c r="Q23" s="74"/>
      <c r="R23" s="74"/>
      <c r="S23" s="74"/>
      <c r="T23" s="74">
        <f>SUM(K23:S23)</f>
        <v>22087.9</v>
      </c>
      <c r="U23" s="54"/>
      <c r="V23" s="74"/>
      <c r="W23" s="74"/>
      <c r="X23" s="74"/>
      <c r="AB23" s="82">
        <f>'Recettes BP 2017'!H23</f>
        <v>0</v>
      </c>
    </row>
    <row r="24" spans="1:29">
      <c r="A24" s="67" t="str">
        <f>'Recettes BP 2017'!A24</f>
        <v xml:space="preserve">Région Poitou-Charentes </v>
      </c>
      <c r="B24" s="62"/>
      <c r="C24" s="62"/>
      <c r="D24" s="62"/>
      <c r="E24" s="57"/>
      <c r="F24" s="73"/>
      <c r="G24" s="62">
        <f>SUM(G25:G30)</f>
        <v>0</v>
      </c>
      <c r="H24" s="73"/>
      <c r="I24" s="62">
        <f>SUM(F24:G24)</f>
        <v>0</v>
      </c>
      <c r="J24" s="53"/>
      <c r="K24" s="73"/>
      <c r="L24" s="73"/>
      <c r="M24" s="73">
        <f t="shared" ref="M24:N24" si="1">SUM(M25:M30)</f>
        <v>0</v>
      </c>
      <c r="N24" s="73">
        <f t="shared" si="1"/>
        <v>0</v>
      </c>
      <c r="O24" s="73">
        <f>SUM(O25:O30)</f>
        <v>7362.64</v>
      </c>
      <c r="P24" s="73"/>
      <c r="Q24" s="73"/>
      <c r="R24" s="73">
        <f>SUM(R25:R30)</f>
        <v>6000</v>
      </c>
      <c r="S24" s="73"/>
      <c r="T24" s="73">
        <f>SUM(K24:S24)</f>
        <v>13362.64</v>
      </c>
      <c r="U24" s="53"/>
      <c r="V24" s="73"/>
      <c r="W24" s="73"/>
      <c r="X24" s="73">
        <f>SUM(V24:W24)</f>
        <v>0</v>
      </c>
      <c r="AB24" s="73">
        <f>'Recettes BP 2017'!H24</f>
        <v>35450.54</v>
      </c>
    </row>
    <row r="25" spans="1:29">
      <c r="A25" s="1584" t="str">
        <f>'Recettes BP 2017'!A25</f>
        <v xml:space="preserve">CRDD </v>
      </c>
      <c r="B25" s="61">
        <f>'Ss-bgt MDE - Synthèse'!B28</f>
        <v>1500</v>
      </c>
      <c r="C25" s="61"/>
      <c r="D25" s="61"/>
      <c r="E25" s="58"/>
      <c r="F25" s="69"/>
      <c r="G25" s="69"/>
      <c r="H25" s="69"/>
      <c r="I25" s="69"/>
      <c r="J25" s="54"/>
      <c r="K25" s="74"/>
      <c r="L25" s="74"/>
      <c r="M25" s="74">
        <f>'Ss-bgt MDE - Synthèse'!I26</f>
        <v>0</v>
      </c>
      <c r="N25" s="139"/>
      <c r="O25" s="74"/>
      <c r="P25" s="74"/>
      <c r="Q25" s="74"/>
      <c r="R25" s="74"/>
      <c r="S25" s="74"/>
      <c r="T25" s="74"/>
      <c r="U25" s="54"/>
      <c r="V25" s="74"/>
      <c r="W25" s="74"/>
      <c r="X25" s="74"/>
      <c r="AB25" s="82">
        <f>'Recettes BP 2017'!H25</f>
        <v>0</v>
      </c>
    </row>
    <row r="26" spans="1:29">
      <c r="A26" s="1584" t="str">
        <f>'Recettes BP 2017'!A26</f>
        <v>LEADER - innovation / accueil jeunes</v>
      </c>
      <c r="B26" s="61"/>
      <c r="C26" s="61"/>
      <c r="D26" s="61"/>
      <c r="E26" s="58"/>
      <c r="F26" s="69"/>
      <c r="G26" s="69">
        <f>'Ss-bgt MDE - Synthèse'!E28</f>
        <v>0</v>
      </c>
      <c r="H26" s="69"/>
      <c r="I26" s="69">
        <f>SUM(F26:G26)</f>
        <v>0</v>
      </c>
      <c r="J26" s="54"/>
      <c r="K26" s="74"/>
      <c r="L26" s="74"/>
      <c r="M26" s="74"/>
      <c r="N26" s="139"/>
      <c r="O26" s="74"/>
      <c r="P26" s="74"/>
      <c r="Q26" s="74"/>
      <c r="R26" s="74"/>
      <c r="S26" s="74"/>
      <c r="T26" s="74"/>
      <c r="U26" s="54"/>
      <c r="V26" s="74"/>
      <c r="W26" s="74"/>
      <c r="X26" s="74"/>
      <c r="AB26" s="82">
        <f>'Recettes BP 2017'!H26</f>
        <v>0</v>
      </c>
    </row>
    <row r="27" spans="1:29">
      <c r="A27" s="1584" t="str">
        <f>'Recettes BP 2017'!A27</f>
        <v>CR - SPRO</v>
      </c>
      <c r="B27" s="61"/>
      <c r="C27" s="61"/>
      <c r="D27" s="61"/>
      <c r="E27" s="58"/>
      <c r="F27" s="69"/>
      <c r="G27" s="69"/>
      <c r="H27" s="69"/>
      <c r="I27" s="69"/>
      <c r="J27" s="54"/>
      <c r="K27" s="74"/>
      <c r="L27" s="74"/>
      <c r="M27" s="74"/>
      <c r="N27" s="139"/>
      <c r="O27" s="74">
        <f>'Ss-bgt MDE - Synthèse'!J26</f>
        <v>7362.64</v>
      </c>
      <c r="P27" s="74"/>
      <c r="Q27" s="74"/>
      <c r="R27" s="74"/>
      <c r="S27" s="74"/>
      <c r="T27" s="74">
        <f>SUM(K27:S27)</f>
        <v>7362.64</v>
      </c>
      <c r="U27" s="54"/>
      <c r="V27" s="74"/>
      <c r="W27" s="74"/>
      <c r="X27" s="74"/>
      <c r="AB27" s="82">
        <f>'Recettes BP 2017'!H27</f>
        <v>29450.54</v>
      </c>
    </row>
    <row r="28" spans="1:29">
      <c r="A28" s="1584" t="str">
        <f>'Recettes BP 2017'!A28</f>
        <v>PRC – VAE</v>
      </c>
      <c r="B28" s="61"/>
      <c r="C28" s="61"/>
      <c r="D28" s="61"/>
      <c r="E28" s="58"/>
      <c r="F28" s="69"/>
      <c r="G28" s="69"/>
      <c r="H28" s="69"/>
      <c r="I28" s="69"/>
      <c r="J28" s="54"/>
      <c r="K28" s="74"/>
      <c r="L28" s="74"/>
      <c r="M28" s="74"/>
      <c r="N28" s="139"/>
      <c r="O28" s="74"/>
      <c r="P28" s="74"/>
      <c r="Q28" s="74"/>
      <c r="R28" s="74">
        <f>'Ss-bgt MDE - Synthèse'!M29</f>
        <v>6000</v>
      </c>
      <c r="S28" s="74"/>
      <c r="T28" s="74">
        <f>SUM(K28:S28)</f>
        <v>6000</v>
      </c>
      <c r="U28" s="54"/>
      <c r="V28" s="74"/>
      <c r="W28" s="74"/>
      <c r="X28" s="74"/>
      <c r="AB28" s="82">
        <f>'Recettes BP 2017'!H28</f>
        <v>6000</v>
      </c>
    </row>
    <row r="29" spans="1:29">
      <c r="A29" s="1584" t="str">
        <f>'Recettes BP 2017'!A29</f>
        <v>Convention Région ML</v>
      </c>
      <c r="B29" s="61"/>
      <c r="C29" s="61"/>
      <c r="D29" s="61"/>
      <c r="E29" s="58"/>
      <c r="F29" s="69"/>
      <c r="G29" s="69"/>
      <c r="H29" s="69"/>
      <c r="I29" s="69"/>
      <c r="J29" s="54"/>
      <c r="K29" s="74"/>
      <c r="L29" s="74"/>
      <c r="M29" s="74"/>
      <c r="N29" s="139"/>
      <c r="O29" s="74"/>
      <c r="P29" s="74"/>
      <c r="Q29" s="74"/>
      <c r="R29" s="74"/>
      <c r="S29" s="74"/>
      <c r="T29" s="74"/>
      <c r="U29" s="54"/>
      <c r="V29" s="74"/>
      <c r="W29" s="74"/>
      <c r="X29" s="74"/>
      <c r="AB29" s="82"/>
    </row>
    <row r="30" spans="1:29">
      <c r="A30" s="1584" t="str">
        <f>'Recettes BP 2017'!A30</f>
        <v>Manifestation d'intérêt Régional</v>
      </c>
      <c r="B30" s="61"/>
      <c r="C30" s="61"/>
      <c r="D30" s="61"/>
      <c r="E30" s="58"/>
      <c r="F30" s="69"/>
      <c r="G30" s="69"/>
      <c r="H30" s="69"/>
      <c r="I30" s="69"/>
      <c r="J30" s="54"/>
      <c r="K30" s="74"/>
      <c r="L30" s="74"/>
      <c r="M30" s="74"/>
      <c r="N30" s="139"/>
      <c r="O30" s="74"/>
      <c r="P30" s="74"/>
      <c r="Q30" s="74"/>
      <c r="R30" s="74"/>
      <c r="S30" s="74"/>
      <c r="T30" s="74"/>
      <c r="U30" s="54"/>
      <c r="V30" s="74"/>
      <c r="W30" s="74"/>
      <c r="X30" s="74"/>
      <c r="AB30" s="82"/>
    </row>
    <row r="31" spans="1:29">
      <c r="A31" s="67" t="str">
        <f>'Recettes BP 2017'!A31</f>
        <v xml:space="preserve">Collectivités locales : </v>
      </c>
      <c r="B31" s="62">
        <f>'Ss-bgt MDE - Synthèse'!B24</f>
        <v>5019.9212300758882</v>
      </c>
      <c r="C31" s="62">
        <f>'Ss-bgt MDE - Synthèse'!C24</f>
        <v>0</v>
      </c>
      <c r="D31" s="62">
        <f>SUM(B31:C31)</f>
        <v>5019.9212300758882</v>
      </c>
      <c r="E31" s="57"/>
      <c r="F31" s="131">
        <f>'Ss-bgt MDE - Synthèse'!D24</f>
        <v>1111.4143158019942</v>
      </c>
      <c r="G31" s="131">
        <f>'Ss-bgt MDE - Synthèse'!E24</f>
        <v>1138.2783904784174</v>
      </c>
      <c r="H31" s="131">
        <f>'Ss-bgt MDE - Synthèse'!F24</f>
        <v>332.05960813413731</v>
      </c>
      <c r="I31" s="131">
        <f>SUM(F31:H31)</f>
        <v>2581.7523144145489</v>
      </c>
      <c r="J31" s="53"/>
      <c r="K31" s="73"/>
      <c r="L31" s="73"/>
      <c r="M31" s="73">
        <f>'Ss-bgt MDE - Synthèse'!I24</f>
        <v>4894.707692836324</v>
      </c>
      <c r="N31" s="73"/>
      <c r="O31" s="73">
        <f>'Ss-bgt MDE - Synthèse'!J24</f>
        <v>6369.8688757030313</v>
      </c>
      <c r="P31" s="73">
        <f>'Ss-bgt MDE - Synthèse'!K24</f>
        <v>1367.9215390974759</v>
      </c>
      <c r="Q31" s="73">
        <f>'Ss-bgt MDE - Synthèse'!L24</f>
        <v>32.636569773253647</v>
      </c>
      <c r="R31" s="73"/>
      <c r="S31" s="73">
        <f>'Ss-bgt MDE - Synthèse'!N24</f>
        <v>1446.2814765540643</v>
      </c>
      <c r="T31" s="73">
        <f t="shared" ref="T31:T34" si="2">SUM(K31:S31)</f>
        <v>14111.41615396415</v>
      </c>
      <c r="U31" s="53"/>
      <c r="V31" s="73">
        <f>'Ss-bgt MDE - Synthèse'!P24</f>
        <v>13000</v>
      </c>
      <c r="W31" s="73">
        <f>SUM(W32:W34)</f>
        <v>735</v>
      </c>
      <c r="X31" s="73">
        <f>SUM(V31:W31)</f>
        <v>13735</v>
      </c>
      <c r="AB31" s="73">
        <f>'Recettes BP 2017'!H31</f>
        <v>35334.747499999998</v>
      </c>
      <c r="AC31" s="288" t="s">
        <v>281</v>
      </c>
    </row>
    <row r="32" spans="1:29">
      <c r="A32" s="1584" t="str">
        <f>'Recettes BP 2017'!A32</f>
        <v>CC Thouarsais</v>
      </c>
      <c r="B32" s="61">
        <f>$B$31*AC32</f>
        <v>5019.9212300758882</v>
      </c>
      <c r="C32" s="61">
        <f>$C$31*AC32</f>
        <v>0</v>
      </c>
      <c r="D32" s="61">
        <f>SUM(B32:C32)</f>
        <v>5019.9212300758882</v>
      </c>
      <c r="E32" s="58"/>
      <c r="F32" s="69">
        <f>F31*$AC$32</f>
        <v>1111.4143158019942</v>
      </c>
      <c r="G32" s="69">
        <f>G31*$AC$32</f>
        <v>1138.2783904784174</v>
      </c>
      <c r="H32" s="69">
        <f>H31*$AC$32</f>
        <v>332.05960813413731</v>
      </c>
      <c r="I32" s="69">
        <f>SUM(F32:H32)</f>
        <v>2581.7523144145489</v>
      </c>
      <c r="J32" s="54"/>
      <c r="K32" s="74"/>
      <c r="L32" s="74"/>
      <c r="M32" s="74">
        <f>M31*$AC$32</f>
        <v>4894.707692836324</v>
      </c>
      <c r="N32" s="138"/>
      <c r="O32" s="74">
        <f>O31*$AC$32</f>
        <v>6369.8688757030313</v>
      </c>
      <c r="P32" s="74">
        <f>P31*$AC$32</f>
        <v>1367.9215390974759</v>
      </c>
      <c r="Q32" s="74">
        <f>Q31*$AC$32</f>
        <v>32.636569773253647</v>
      </c>
      <c r="R32" s="74"/>
      <c r="S32" s="74">
        <f>S31*$AC$32</f>
        <v>1446.2814765540643</v>
      </c>
      <c r="T32" s="74">
        <f t="shared" si="2"/>
        <v>14111.41615396415</v>
      </c>
      <c r="U32" s="54"/>
      <c r="V32" s="74">
        <f>V31*AC32</f>
        <v>13000</v>
      </c>
      <c r="W32" s="74"/>
      <c r="X32" s="74">
        <f>SUM(V32:W32)</f>
        <v>13000</v>
      </c>
      <c r="Z32" s="205">
        <f>D32+I32+T32+X32</f>
        <v>34713.089698454583</v>
      </c>
      <c r="AA32" s="205">
        <f>Z32/AB32</f>
        <v>1.0032758099883412</v>
      </c>
      <c r="AB32" s="82">
        <f>'Recettes BP 2017'!H32</f>
        <v>34599.747499999998</v>
      </c>
      <c r="AC32" s="289">
        <f>AB32/(AB32+AB33)</f>
        <v>1</v>
      </c>
    </row>
    <row r="33" spans="1:29">
      <c r="A33" s="1584" t="str">
        <f>'Recettes BP 2017'!A33</f>
        <v>CC Airvault - Val du Thouet</v>
      </c>
      <c r="B33" s="61">
        <f>$B$31*AC33</f>
        <v>0</v>
      </c>
      <c r="C33" s="61">
        <f>$C$31*AC33</f>
        <v>0</v>
      </c>
      <c r="D33" s="61">
        <f>SUM(B33:C33)</f>
        <v>0</v>
      </c>
      <c r="E33" s="58"/>
      <c r="F33" s="69">
        <f>F31*$AC$33</f>
        <v>0</v>
      </c>
      <c r="G33" s="69">
        <f>G31*$AC$33</f>
        <v>0</v>
      </c>
      <c r="H33" s="69">
        <f>H31*$AC$33</f>
        <v>0</v>
      </c>
      <c r="I33" s="69">
        <f>SUM(F33:H33)</f>
        <v>0</v>
      </c>
      <c r="J33" s="54"/>
      <c r="K33" s="74"/>
      <c r="L33" s="74"/>
      <c r="M33" s="74">
        <f>M31*$AC$33</f>
        <v>0</v>
      </c>
      <c r="N33" s="74"/>
      <c r="O33" s="74">
        <f>O31*$AC$33</f>
        <v>0</v>
      </c>
      <c r="P33" s="74">
        <f>P31*$AC$33</f>
        <v>0</v>
      </c>
      <c r="Q33" s="74">
        <f>Q31*$AC$33</f>
        <v>0</v>
      </c>
      <c r="R33" s="74"/>
      <c r="S33" s="74">
        <f>S31*$AC$33</f>
        <v>0</v>
      </c>
      <c r="T33" s="74">
        <f t="shared" si="2"/>
        <v>0</v>
      </c>
      <c r="U33" s="54"/>
      <c r="V33" s="74"/>
      <c r="W33" s="74"/>
      <c r="X33" s="74">
        <f>SUM(V33:W33)</f>
        <v>0</v>
      </c>
      <c r="AB33" s="82">
        <f>'Recettes BP 2017'!H33</f>
        <v>0</v>
      </c>
      <c r="AC33" s="289">
        <f>AB33/$AB$31</f>
        <v>0</v>
      </c>
    </row>
    <row r="34" spans="1:29">
      <c r="A34" s="1584" t="str">
        <f>'Recettes BP 2017'!A34</f>
        <v>Mairie de Loudun</v>
      </c>
      <c r="B34" s="61"/>
      <c r="C34" s="61"/>
      <c r="D34" s="61"/>
      <c r="E34" s="58"/>
      <c r="F34" s="69"/>
      <c r="G34" s="69"/>
      <c r="H34" s="69"/>
      <c r="I34" s="69"/>
      <c r="J34" s="54"/>
      <c r="K34" s="74"/>
      <c r="L34" s="74"/>
      <c r="M34" s="74"/>
      <c r="N34" s="138"/>
      <c r="O34" s="74"/>
      <c r="P34" s="74"/>
      <c r="Q34" s="74"/>
      <c r="R34" s="74"/>
      <c r="S34" s="74"/>
      <c r="T34" s="74">
        <f t="shared" si="2"/>
        <v>0</v>
      </c>
      <c r="U34" s="54"/>
      <c r="V34" s="74"/>
      <c r="W34" s="74">
        <f>'Ss-bgt MDE - Synthèse'!Q24</f>
        <v>735</v>
      </c>
      <c r="X34" s="74">
        <f>SUM(V34:W34)</f>
        <v>735</v>
      </c>
      <c r="AB34" s="82">
        <f>'Recettes BP 2017'!H34</f>
        <v>735</v>
      </c>
      <c r="AC34" s="289">
        <f>AB34/$AB$31</f>
        <v>2.0801054259691542E-2</v>
      </c>
    </row>
    <row r="35" spans="1:29">
      <c r="A35" s="130" t="str">
        <f>'Recettes BP 2017'!A35</f>
        <v>DR Pole Emploi</v>
      </c>
      <c r="B35" s="62"/>
      <c r="C35" s="62"/>
      <c r="D35" s="62"/>
      <c r="E35" s="57"/>
      <c r="F35" s="73"/>
      <c r="G35" s="73"/>
      <c r="H35" s="73"/>
      <c r="I35" s="62"/>
      <c r="J35" s="53"/>
      <c r="K35" s="73"/>
      <c r="L35" s="73"/>
      <c r="M35" s="73"/>
      <c r="N35" s="137"/>
      <c r="O35" s="73"/>
      <c r="P35" s="73"/>
      <c r="Q35" s="73"/>
      <c r="R35" s="73"/>
      <c r="S35" s="73"/>
      <c r="T35" s="73"/>
      <c r="U35" s="53"/>
      <c r="V35" s="73"/>
      <c r="W35" s="73"/>
      <c r="X35" s="73"/>
      <c r="AB35" s="73"/>
    </row>
    <row r="36" spans="1:29">
      <c r="A36" s="1584" t="str">
        <f>'Recettes BP 2017'!A36</f>
        <v>Co-traitance</v>
      </c>
      <c r="B36" s="61"/>
      <c r="C36" s="61"/>
      <c r="D36" s="61"/>
      <c r="E36" s="58"/>
      <c r="F36" s="69"/>
      <c r="G36" s="69"/>
      <c r="H36" s="69"/>
      <c r="I36" s="69"/>
      <c r="J36" s="54"/>
      <c r="K36" s="74"/>
      <c r="L36" s="74"/>
      <c r="M36" s="74"/>
      <c r="N36" s="139"/>
      <c r="O36" s="74"/>
      <c r="P36" s="74"/>
      <c r="Q36" s="74"/>
      <c r="R36" s="74"/>
      <c r="S36" s="74"/>
      <c r="T36" s="74"/>
      <c r="U36" s="54"/>
      <c r="V36" s="74"/>
      <c r="W36" s="74"/>
      <c r="X36" s="74"/>
      <c r="AB36" s="82"/>
    </row>
    <row r="37" spans="1:29" s="50" customFormat="1">
      <c r="A37" s="130" t="str">
        <f>'Recettes BP 2017'!A37</f>
        <v>Conseil Départemental</v>
      </c>
      <c r="B37" s="62"/>
      <c r="C37" s="62"/>
      <c r="D37" s="62"/>
      <c r="E37" s="57"/>
      <c r="F37" s="62"/>
      <c r="G37" s="73"/>
      <c r="H37" s="73"/>
      <c r="I37" s="62"/>
      <c r="J37" s="53"/>
      <c r="K37" s="73"/>
      <c r="L37" s="73"/>
      <c r="M37" s="73"/>
      <c r="N37" s="137"/>
      <c r="O37" s="73"/>
      <c r="P37" s="73"/>
      <c r="Q37" s="73"/>
      <c r="R37" s="73"/>
      <c r="S37" s="73"/>
      <c r="T37" s="73"/>
      <c r="U37" s="53"/>
      <c r="V37" s="73"/>
      <c r="W37" s="73"/>
      <c r="X37" s="73"/>
      <c r="AB37" s="73"/>
    </row>
    <row r="38" spans="1:29">
      <c r="A38" s="217" t="str">
        <f>'Recettes BP 2017'!A38</f>
        <v>Accompagt jeunes RSA</v>
      </c>
      <c r="B38" s="61"/>
      <c r="C38" s="61"/>
      <c r="D38" s="61"/>
      <c r="E38" s="58"/>
      <c r="F38" s="69"/>
      <c r="G38" s="69"/>
      <c r="H38" s="69"/>
      <c r="I38" s="69"/>
      <c r="J38" s="54"/>
      <c r="K38" s="74"/>
      <c r="L38" s="74"/>
      <c r="M38" s="74"/>
      <c r="N38" s="139"/>
      <c r="O38" s="74"/>
      <c r="P38" s="74"/>
      <c r="Q38" s="74"/>
      <c r="R38" s="74"/>
      <c r="S38" s="74"/>
      <c r="T38" s="74"/>
      <c r="U38" s="54"/>
      <c r="V38" s="74"/>
      <c r="W38" s="74"/>
      <c r="X38" s="74"/>
      <c r="AB38" s="82"/>
    </row>
    <row r="39" spans="1:29" s="50" customFormat="1">
      <c r="A39" s="130" t="str">
        <f>'Recettes BP 2017'!A39</f>
        <v>Autres financements</v>
      </c>
      <c r="B39" s="62">
        <f>SUM(B41:B47)</f>
        <v>1500</v>
      </c>
      <c r="C39" s="62"/>
      <c r="D39" s="62">
        <f>SUM(B39:C39)</f>
        <v>1500</v>
      </c>
      <c r="E39" s="57"/>
      <c r="F39" s="62">
        <f>SUM(F40:F47)</f>
        <v>28800</v>
      </c>
      <c r="G39" s="62"/>
      <c r="H39" s="73"/>
      <c r="I39" s="62">
        <f>SUM(F39:H39)</f>
        <v>28800</v>
      </c>
      <c r="J39" s="53"/>
      <c r="K39" s="73"/>
      <c r="L39" s="73"/>
      <c r="M39" s="73">
        <f>SUM(M40:M47)</f>
        <v>0</v>
      </c>
      <c r="N39" s="73">
        <f>SUM(N41:N46)</f>
        <v>0</v>
      </c>
      <c r="O39" s="73"/>
      <c r="P39" s="73">
        <f>SUM(P41:P46)</f>
        <v>0</v>
      </c>
      <c r="Q39" s="73">
        <f>SUM(Q40:Q47)</f>
        <v>0</v>
      </c>
      <c r="R39" s="73"/>
      <c r="S39" s="73"/>
      <c r="T39" s="73">
        <f>SUM(K39:S39)</f>
        <v>0</v>
      </c>
      <c r="U39" s="53"/>
      <c r="V39" s="73">
        <f>SUM(V40:V47)</f>
        <v>13000</v>
      </c>
      <c r="W39" s="73"/>
      <c r="X39" s="73">
        <f>SUM(V39:W39)</f>
        <v>13000</v>
      </c>
      <c r="AB39" s="73">
        <f>'Recettes BP 2017'!H39</f>
        <v>43300</v>
      </c>
    </row>
    <row r="40" spans="1:29" s="50" customFormat="1">
      <c r="A40" s="1584" t="str">
        <f>'Recettes BP 2017'!A40</f>
        <v>Fonds revitalisation</v>
      </c>
      <c r="B40" s="61"/>
      <c r="C40" s="61"/>
      <c r="D40" s="61"/>
      <c r="E40" s="58"/>
      <c r="F40" s="69">
        <f>20000+8800</f>
        <v>28800</v>
      </c>
      <c r="G40" s="69"/>
      <c r="H40" s="69"/>
      <c r="I40" s="69">
        <f>SUM(F40:H40)</f>
        <v>28800</v>
      </c>
      <c r="J40" s="5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54"/>
      <c r="V40" s="74"/>
      <c r="W40" s="74"/>
      <c r="X40" s="74"/>
      <c r="AB40" s="82">
        <f>'Recettes BP 2017'!H40</f>
        <v>28800</v>
      </c>
    </row>
    <row r="41" spans="1:29">
      <c r="A41" s="1584" t="str">
        <f>'Recettes BP 2017'!A41</f>
        <v>Goupe DRH</v>
      </c>
      <c r="B41" s="61">
        <f>'Ss-bgt MDE - Synthèse'!B28</f>
        <v>1500</v>
      </c>
      <c r="C41" s="61"/>
      <c r="D41" s="61">
        <f>SUM(B41:C41)</f>
        <v>1500</v>
      </c>
      <c r="E41" s="58"/>
      <c r="F41" s="69"/>
      <c r="G41" s="69"/>
      <c r="H41" s="69"/>
      <c r="I41" s="69"/>
      <c r="J41" s="5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54"/>
      <c r="V41" s="74"/>
      <c r="W41" s="74"/>
      <c r="X41" s="74"/>
      <c r="AB41" s="82">
        <f>'Recettes BP 2017'!H41</f>
        <v>1500</v>
      </c>
    </row>
    <row r="42" spans="1:29">
      <c r="A42" s="217" t="str">
        <f>'Recettes BP 2017'!A42</f>
        <v>Valorisation de Fonds OPCA</v>
      </c>
      <c r="B42" s="61"/>
      <c r="C42" s="61"/>
      <c r="D42" s="61"/>
      <c r="E42" s="58"/>
      <c r="F42" s="69"/>
      <c r="G42" s="69"/>
      <c r="H42" s="69"/>
      <c r="I42" s="69"/>
      <c r="J42" s="54"/>
      <c r="K42" s="74"/>
      <c r="L42" s="74"/>
      <c r="M42" s="74"/>
      <c r="N42" s="139"/>
      <c r="O42" s="74"/>
      <c r="P42" s="74"/>
      <c r="Q42" s="74"/>
      <c r="R42" s="74"/>
      <c r="S42" s="74"/>
      <c r="T42" s="74"/>
      <c r="U42" s="54"/>
      <c r="V42" s="74"/>
      <c r="W42" s="74"/>
      <c r="X42" s="74"/>
      <c r="AB42" s="82"/>
    </row>
    <row r="43" spans="1:29">
      <c r="A43" s="217" t="e">
        <f>'Recettes BP 2017'!#REF!</f>
        <v>#REF!</v>
      </c>
      <c r="B43" s="61"/>
      <c r="C43" s="61"/>
      <c r="D43" s="61"/>
      <c r="E43" s="58"/>
      <c r="F43" s="69"/>
      <c r="G43" s="69"/>
      <c r="H43" s="69"/>
      <c r="I43" s="69"/>
      <c r="J43" s="54"/>
      <c r="K43" s="74"/>
      <c r="L43" s="74"/>
      <c r="M43" s="74"/>
      <c r="N43" s="139"/>
      <c r="O43" s="74"/>
      <c r="P43" s="74"/>
      <c r="Q43" s="74"/>
      <c r="R43" s="74"/>
      <c r="S43" s="74"/>
      <c r="T43" s="74"/>
      <c r="U43" s="54"/>
      <c r="V43" s="74"/>
      <c r="W43" s="74"/>
      <c r="X43" s="74"/>
      <c r="AB43" s="82"/>
    </row>
    <row r="44" spans="1:29">
      <c r="A44" s="217" t="e">
        <f>'Recettes BP 2017'!#REF!</f>
        <v>#REF!</v>
      </c>
      <c r="B44" s="61"/>
      <c r="C44" s="61"/>
      <c r="D44" s="61"/>
      <c r="E44" s="58"/>
      <c r="F44" s="69"/>
      <c r="G44" s="69"/>
      <c r="H44" s="69"/>
      <c r="I44" s="69"/>
      <c r="J44" s="54"/>
      <c r="K44" s="74"/>
      <c r="L44" s="74"/>
      <c r="M44" s="74"/>
      <c r="N44" s="139"/>
      <c r="O44" s="74"/>
      <c r="P44" s="74"/>
      <c r="Q44" s="74"/>
      <c r="R44" s="74"/>
      <c r="S44" s="74"/>
      <c r="T44" s="74"/>
      <c r="U44" s="54"/>
      <c r="V44" s="74"/>
      <c r="W44" s="74"/>
      <c r="X44" s="74"/>
      <c r="AB44" s="82"/>
    </row>
    <row r="45" spans="1:29">
      <c r="A45" s="217" t="str">
        <f>'Recettes BP 2017'!A43</f>
        <v>Mutualisation chargée de communicat° - Bocage</v>
      </c>
      <c r="B45" s="61"/>
      <c r="C45" s="61"/>
      <c r="D45" s="61"/>
      <c r="E45" s="58"/>
      <c r="F45" s="69"/>
      <c r="G45" s="69"/>
      <c r="H45" s="69"/>
      <c r="I45" s="69"/>
      <c r="J45" s="54"/>
      <c r="K45" s="74"/>
      <c r="L45" s="74"/>
      <c r="M45" s="74"/>
      <c r="N45" s="139"/>
      <c r="O45" s="74"/>
      <c r="P45" s="74"/>
      <c r="Q45" s="74"/>
      <c r="R45" s="74"/>
      <c r="S45" s="74"/>
      <c r="T45" s="74"/>
      <c r="U45" s="54"/>
      <c r="V45" s="74"/>
      <c r="W45" s="74"/>
      <c r="X45" s="74"/>
      <c r="AB45" s="82"/>
    </row>
    <row r="46" spans="1:29">
      <c r="A46" s="217" t="str">
        <f>'Recettes BP 2017'!A44</f>
        <v>Mutualisation Clauses sociales Bocage</v>
      </c>
      <c r="B46" s="61"/>
      <c r="C46" s="61"/>
      <c r="D46" s="61"/>
      <c r="E46" s="58"/>
      <c r="F46" s="69"/>
      <c r="G46" s="69"/>
      <c r="H46" s="69"/>
      <c r="I46" s="69"/>
      <c r="J46" s="54"/>
      <c r="K46" s="74"/>
      <c r="L46" s="74"/>
      <c r="M46" s="74"/>
      <c r="N46" s="139"/>
      <c r="O46" s="74"/>
      <c r="P46" s="74"/>
      <c r="Q46" s="74"/>
      <c r="R46" s="74"/>
      <c r="S46" s="74"/>
      <c r="T46" s="74">
        <f>SUM(K46:S46)</f>
        <v>0</v>
      </c>
      <c r="U46" s="54"/>
      <c r="V46" s="74">
        <f>'Ss-bgt MDE - Synthèse'!P28</f>
        <v>13000</v>
      </c>
      <c r="W46" s="74"/>
      <c r="X46" s="74">
        <f>SUM(V46:W46)</f>
        <v>13000</v>
      </c>
      <c r="AB46" s="82">
        <f>'Recettes BP 2017'!H44</f>
        <v>13000</v>
      </c>
    </row>
    <row r="47" spans="1:29">
      <c r="A47" s="217" t="str">
        <f>'Recettes BP 2017'!A48</f>
        <v>Indemnités congé payé dir-adj (fds mef)</v>
      </c>
      <c r="B47" s="61"/>
      <c r="C47" s="61"/>
      <c r="D47" s="61"/>
      <c r="E47" s="58"/>
      <c r="F47" s="69"/>
      <c r="G47" s="69"/>
      <c r="H47" s="69"/>
      <c r="I47" s="69"/>
      <c r="J47" s="54"/>
      <c r="K47" s="74"/>
      <c r="L47" s="74"/>
      <c r="M47" s="74"/>
      <c r="N47" s="139"/>
      <c r="O47" s="74"/>
      <c r="P47" s="74"/>
      <c r="Q47" s="74"/>
      <c r="R47" s="74"/>
      <c r="S47" s="74"/>
      <c r="T47" s="74"/>
      <c r="U47" s="54"/>
      <c r="V47" s="74"/>
      <c r="W47" s="74"/>
      <c r="X47" s="74"/>
      <c r="AB47" s="82"/>
    </row>
    <row r="48" spans="1:29" s="1" customFormat="1">
      <c r="A48" s="1584" t="str">
        <f>'Recettes BP 2017'!A49</f>
        <v xml:space="preserve"> </v>
      </c>
      <c r="B48" s="64">
        <f>B39+B37+B35+B31+B24+B19+B6</f>
        <v>16899.485103534418</v>
      </c>
      <c r="C48" s="64">
        <f>C39+C37+C35+C31+C24+C19+C6</f>
        <v>0</v>
      </c>
      <c r="D48" s="64">
        <f>D39+D37+D35+D31+D24+D19+D6</f>
        <v>16899.485103534418</v>
      </c>
      <c r="E48" s="59"/>
      <c r="F48" s="71">
        <f t="shared" ref="F48:H48" si="3">F39+F37+F35+F31+F24+F19+F6</f>
        <v>29911.414315801994</v>
      </c>
      <c r="G48" s="71">
        <f t="shared" si="3"/>
        <v>9576.6008474636092</v>
      </c>
      <c r="H48" s="71">
        <f t="shared" si="3"/>
        <v>2793.6947158675812</v>
      </c>
      <c r="I48" s="71">
        <f>I39+I37+I35+I31+I24+I19+I6</f>
        <v>42281.709879133181</v>
      </c>
      <c r="J48" s="55"/>
      <c r="K48" s="192" t="e">
        <f>#REF!+K39+K37+K35+K31+K24+K19+K6</f>
        <v>#REF!</v>
      </c>
      <c r="L48" s="192" t="e">
        <f>#REF!+L39+L37+L35+L31+L24+L19+L6</f>
        <v>#REF!</v>
      </c>
      <c r="M48" s="192">
        <f t="shared" ref="M48:S48" si="4">M39+M37+M35+M31+M24+M19+M6</f>
        <v>41180.314263544627</v>
      </c>
      <c r="N48" s="193">
        <f t="shared" si="4"/>
        <v>0</v>
      </c>
      <c r="O48" s="192">
        <f t="shared" si="4"/>
        <v>35820.408875703033</v>
      </c>
      <c r="P48" s="192">
        <f t="shared" si="4"/>
        <v>5367.9215390974759</v>
      </c>
      <c r="Q48" s="192">
        <f t="shared" si="4"/>
        <v>32.636569773253647</v>
      </c>
      <c r="R48" s="192">
        <f t="shared" si="4"/>
        <v>6000</v>
      </c>
      <c r="S48" s="192">
        <f t="shared" si="4"/>
        <v>12167.902448026998</v>
      </c>
      <c r="T48" s="76">
        <f>T39+T37+T35+T31+T24+T19+T6</f>
        <v>100569.1836961454</v>
      </c>
      <c r="U48" s="55"/>
      <c r="V48" s="192">
        <f>V39+V37+V35+V31+V24+V19+V6</f>
        <v>39791.867518325591</v>
      </c>
      <c r="W48" s="192">
        <f>W39+W37+W35+W31+W24+W19+W6</f>
        <v>735</v>
      </c>
      <c r="X48" s="76">
        <f>X39+X37+X35+X31+X24+X19+X6</f>
        <v>40526.867518325591</v>
      </c>
      <c r="AB48" s="134">
        <f>'Recettes BP 2017'!H49</f>
        <v>200192.6575</v>
      </c>
    </row>
    <row r="50" spans="1:28">
      <c r="A50" s="287"/>
      <c r="B50" s="287">
        <f>B48-'Ss-bdt MDE - Dep'!B128</f>
        <v>0</v>
      </c>
      <c r="C50" s="287">
        <f>C48-'Ss-bdt MDE - Dep'!D128</f>
        <v>0</v>
      </c>
      <c r="D50" s="287"/>
      <c r="E50" s="287"/>
      <c r="F50" s="287">
        <f>F48-'Ss-bdt MDE - Dep'!O128</f>
        <v>0</v>
      </c>
      <c r="G50" s="287">
        <f>G48-'Ss-bdt MDE - Dep'!Q128</f>
        <v>0</v>
      </c>
      <c r="H50" s="287"/>
      <c r="I50" s="287"/>
      <c r="J50" s="287"/>
      <c r="K50" s="287" t="e">
        <f>K48-'Ss-bdt MDE - Dep'!Y128</f>
        <v>#REF!</v>
      </c>
      <c r="L50" s="287" t="e">
        <f>L48-'Ss-bdt MDE - Dep'!AA128</f>
        <v>#REF!</v>
      </c>
      <c r="M50" s="287">
        <f>M48-'Ss-bdt MDE - Dep'!AC128</f>
        <v>0</v>
      </c>
      <c r="N50" s="286">
        <f>N48-'Ss-bdt MDE - Dep'!AE128</f>
        <v>0</v>
      </c>
      <c r="O50" s="287">
        <f>O48-'Ss-bdt MDE - Dep'!AG128</f>
        <v>0</v>
      </c>
      <c r="P50" s="287">
        <f>P48-'Ss-bdt MDE - Dep'!AI128</f>
        <v>0</v>
      </c>
      <c r="Q50" s="287">
        <f>Q48-'Ss-bdt MDE - Dep'!AK128</f>
        <v>0</v>
      </c>
      <c r="R50" s="287">
        <f>R48-'Ss-bdt MDE - Dep'!AM128</f>
        <v>8.6292097600899069</v>
      </c>
      <c r="S50" s="287">
        <f>S48-'Ss-bdt MDE - Dep'!AO128</f>
        <v>0</v>
      </c>
      <c r="T50" s="287"/>
      <c r="U50" s="287"/>
      <c r="V50" s="287">
        <f>V48-'Ss-bdt MDE - Dep'!AU128</f>
        <v>0</v>
      </c>
      <c r="W50" s="287"/>
      <c r="X50" s="287"/>
      <c r="AB50" s="287">
        <f>AB48-'Ss-bdt MDE - Dep'!BG128</f>
        <v>-74.582598378328839</v>
      </c>
    </row>
  </sheetData>
  <mergeCells count="6">
    <mergeCell ref="AB3:AB5"/>
    <mergeCell ref="A3:A5"/>
    <mergeCell ref="B3:D4"/>
    <mergeCell ref="F3:I4"/>
    <mergeCell ref="M3:T4"/>
    <mergeCell ref="V3:X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topLeftCell="A7" zoomScale="80" zoomScaleNormal="80" workbookViewId="0">
      <selection activeCell="P24" sqref="P24"/>
    </sheetView>
  </sheetViews>
  <sheetFormatPr baseColWidth="10" defaultColWidth="11.42578125" defaultRowHeight="12.75"/>
  <cols>
    <col min="1" max="1" width="31.7109375" customWidth="1"/>
    <col min="2" max="2" width="14.85546875" customWidth="1"/>
    <col min="3" max="3" width="16.85546875" hidden="1" customWidth="1"/>
    <col min="4" max="4" width="15" bestFit="1" customWidth="1"/>
    <col min="5" max="6" width="13.85546875" customWidth="1"/>
    <col min="7" max="7" width="12.42578125" hidden="1" customWidth="1"/>
    <col min="8" max="8" width="13" hidden="1" customWidth="1"/>
    <col min="9" max="10" width="14.7109375" customWidth="1"/>
    <col min="11" max="11" width="16.28515625" bestFit="1" customWidth="1"/>
    <col min="12" max="12" width="14" hidden="1" customWidth="1"/>
    <col min="13" max="13" width="13.5703125" customWidth="1"/>
    <col min="14" max="14" width="15.140625" customWidth="1"/>
    <col min="15" max="15" width="14" customWidth="1"/>
    <col min="16" max="17" width="13.5703125" customWidth="1"/>
    <col min="18" max="18" width="14.85546875" customWidth="1"/>
    <col min="19" max="19" width="13.85546875" style="1" bestFit="1" customWidth="1"/>
    <col min="20" max="20" width="10" style="1" bestFit="1" customWidth="1"/>
    <col min="21" max="21" width="12.85546875" style="1" bestFit="1" customWidth="1"/>
    <col min="22" max="22" width="11.42578125" style="1"/>
    <col min="23" max="23" width="13" bestFit="1" customWidth="1"/>
    <col min="24" max="24" width="12.85546875" bestFit="1" customWidth="1"/>
    <col min="260" max="260" width="35.7109375" bestFit="1" customWidth="1"/>
    <col min="261" max="273" width="10.140625" bestFit="1" customWidth="1"/>
    <col min="516" max="516" width="35.7109375" bestFit="1" customWidth="1"/>
    <col min="517" max="529" width="10.140625" bestFit="1" customWidth="1"/>
    <col min="772" max="772" width="35.7109375" bestFit="1" customWidth="1"/>
    <col min="773" max="785" width="10.140625" bestFit="1" customWidth="1"/>
    <col min="1028" max="1028" width="35.7109375" bestFit="1" customWidth="1"/>
    <col min="1029" max="1041" width="10.140625" bestFit="1" customWidth="1"/>
    <col min="1284" max="1284" width="35.7109375" bestFit="1" customWidth="1"/>
    <col min="1285" max="1297" width="10.140625" bestFit="1" customWidth="1"/>
    <col min="1540" max="1540" width="35.7109375" bestFit="1" customWidth="1"/>
    <col min="1541" max="1553" width="10.140625" bestFit="1" customWidth="1"/>
    <col min="1796" max="1796" width="35.7109375" bestFit="1" customWidth="1"/>
    <col min="1797" max="1809" width="10.140625" bestFit="1" customWidth="1"/>
    <col min="2052" max="2052" width="35.7109375" bestFit="1" customWidth="1"/>
    <col min="2053" max="2065" width="10.140625" bestFit="1" customWidth="1"/>
    <col min="2308" max="2308" width="35.7109375" bestFit="1" customWidth="1"/>
    <col min="2309" max="2321" width="10.140625" bestFit="1" customWidth="1"/>
    <col min="2564" max="2564" width="35.7109375" bestFit="1" customWidth="1"/>
    <col min="2565" max="2577" width="10.140625" bestFit="1" customWidth="1"/>
    <col min="2820" max="2820" width="35.7109375" bestFit="1" customWidth="1"/>
    <col min="2821" max="2833" width="10.140625" bestFit="1" customWidth="1"/>
    <col min="3076" max="3076" width="35.7109375" bestFit="1" customWidth="1"/>
    <col min="3077" max="3089" width="10.140625" bestFit="1" customWidth="1"/>
    <col min="3332" max="3332" width="35.7109375" bestFit="1" customWidth="1"/>
    <col min="3333" max="3345" width="10.140625" bestFit="1" customWidth="1"/>
    <col min="3588" max="3588" width="35.7109375" bestFit="1" customWidth="1"/>
    <col min="3589" max="3601" width="10.140625" bestFit="1" customWidth="1"/>
    <col min="3844" max="3844" width="35.7109375" bestFit="1" customWidth="1"/>
    <col min="3845" max="3857" width="10.140625" bestFit="1" customWidth="1"/>
    <col min="4100" max="4100" width="35.7109375" bestFit="1" customWidth="1"/>
    <col min="4101" max="4113" width="10.140625" bestFit="1" customWidth="1"/>
    <col min="4356" max="4356" width="35.7109375" bestFit="1" customWidth="1"/>
    <col min="4357" max="4369" width="10.140625" bestFit="1" customWidth="1"/>
    <col min="4612" max="4612" width="35.7109375" bestFit="1" customWidth="1"/>
    <col min="4613" max="4625" width="10.140625" bestFit="1" customWidth="1"/>
    <col min="4868" max="4868" width="35.7109375" bestFit="1" customWidth="1"/>
    <col min="4869" max="4881" width="10.140625" bestFit="1" customWidth="1"/>
    <col min="5124" max="5124" width="35.7109375" bestFit="1" customWidth="1"/>
    <col min="5125" max="5137" width="10.140625" bestFit="1" customWidth="1"/>
    <col min="5380" max="5380" width="35.7109375" bestFit="1" customWidth="1"/>
    <col min="5381" max="5393" width="10.140625" bestFit="1" customWidth="1"/>
    <col min="5636" max="5636" width="35.7109375" bestFit="1" customWidth="1"/>
    <col min="5637" max="5649" width="10.140625" bestFit="1" customWidth="1"/>
    <col min="5892" max="5892" width="35.7109375" bestFit="1" customWidth="1"/>
    <col min="5893" max="5905" width="10.140625" bestFit="1" customWidth="1"/>
    <col min="6148" max="6148" width="35.7109375" bestFit="1" customWidth="1"/>
    <col min="6149" max="6161" width="10.140625" bestFit="1" customWidth="1"/>
    <col min="6404" max="6404" width="35.7109375" bestFit="1" customWidth="1"/>
    <col min="6405" max="6417" width="10.140625" bestFit="1" customWidth="1"/>
    <col min="6660" max="6660" width="35.7109375" bestFit="1" customWidth="1"/>
    <col min="6661" max="6673" width="10.140625" bestFit="1" customWidth="1"/>
    <col min="6916" max="6916" width="35.7109375" bestFit="1" customWidth="1"/>
    <col min="6917" max="6929" width="10.140625" bestFit="1" customWidth="1"/>
    <col min="7172" max="7172" width="35.7109375" bestFit="1" customWidth="1"/>
    <col min="7173" max="7185" width="10.140625" bestFit="1" customWidth="1"/>
    <col min="7428" max="7428" width="35.7109375" bestFit="1" customWidth="1"/>
    <col min="7429" max="7441" width="10.140625" bestFit="1" customWidth="1"/>
    <col min="7684" max="7684" width="35.7109375" bestFit="1" customWidth="1"/>
    <col min="7685" max="7697" width="10.140625" bestFit="1" customWidth="1"/>
    <col min="7940" max="7940" width="35.7109375" bestFit="1" customWidth="1"/>
    <col min="7941" max="7953" width="10.140625" bestFit="1" customWidth="1"/>
    <col min="8196" max="8196" width="35.7109375" bestFit="1" customWidth="1"/>
    <col min="8197" max="8209" width="10.140625" bestFit="1" customWidth="1"/>
    <col min="8452" max="8452" width="35.7109375" bestFit="1" customWidth="1"/>
    <col min="8453" max="8465" width="10.140625" bestFit="1" customWidth="1"/>
    <col min="8708" max="8708" width="35.7109375" bestFit="1" customWidth="1"/>
    <col min="8709" max="8721" width="10.140625" bestFit="1" customWidth="1"/>
    <col min="8964" max="8964" width="35.7109375" bestFit="1" customWidth="1"/>
    <col min="8965" max="8977" width="10.140625" bestFit="1" customWidth="1"/>
    <col min="9220" max="9220" width="35.7109375" bestFit="1" customWidth="1"/>
    <col min="9221" max="9233" width="10.140625" bestFit="1" customWidth="1"/>
    <col min="9476" max="9476" width="35.7109375" bestFit="1" customWidth="1"/>
    <col min="9477" max="9489" width="10.140625" bestFit="1" customWidth="1"/>
    <col min="9732" max="9732" width="35.7109375" bestFit="1" customWidth="1"/>
    <col min="9733" max="9745" width="10.140625" bestFit="1" customWidth="1"/>
    <col min="9988" max="9988" width="35.7109375" bestFit="1" customWidth="1"/>
    <col min="9989" max="10001" width="10.140625" bestFit="1" customWidth="1"/>
    <col min="10244" max="10244" width="35.7109375" bestFit="1" customWidth="1"/>
    <col min="10245" max="10257" width="10.140625" bestFit="1" customWidth="1"/>
    <col min="10500" max="10500" width="35.7109375" bestFit="1" customWidth="1"/>
    <col min="10501" max="10513" width="10.140625" bestFit="1" customWidth="1"/>
    <col min="10756" max="10756" width="35.7109375" bestFit="1" customWidth="1"/>
    <col min="10757" max="10769" width="10.140625" bestFit="1" customWidth="1"/>
    <col min="11012" max="11012" width="35.7109375" bestFit="1" customWidth="1"/>
    <col min="11013" max="11025" width="10.140625" bestFit="1" customWidth="1"/>
    <col min="11268" max="11268" width="35.7109375" bestFit="1" customWidth="1"/>
    <col min="11269" max="11281" width="10.140625" bestFit="1" customWidth="1"/>
    <col min="11524" max="11524" width="35.7109375" bestFit="1" customWidth="1"/>
    <col min="11525" max="11537" width="10.140625" bestFit="1" customWidth="1"/>
    <col min="11780" max="11780" width="35.7109375" bestFit="1" customWidth="1"/>
    <col min="11781" max="11793" width="10.140625" bestFit="1" customWidth="1"/>
    <col min="12036" max="12036" width="35.7109375" bestFit="1" customWidth="1"/>
    <col min="12037" max="12049" width="10.140625" bestFit="1" customWidth="1"/>
    <col min="12292" max="12292" width="35.7109375" bestFit="1" customWidth="1"/>
    <col min="12293" max="12305" width="10.140625" bestFit="1" customWidth="1"/>
    <col min="12548" max="12548" width="35.7109375" bestFit="1" customWidth="1"/>
    <col min="12549" max="12561" width="10.140625" bestFit="1" customWidth="1"/>
    <col min="12804" max="12804" width="35.7109375" bestFit="1" customWidth="1"/>
    <col min="12805" max="12817" width="10.140625" bestFit="1" customWidth="1"/>
    <col min="13060" max="13060" width="35.7109375" bestFit="1" customWidth="1"/>
    <col min="13061" max="13073" width="10.140625" bestFit="1" customWidth="1"/>
    <col min="13316" max="13316" width="35.7109375" bestFit="1" customWidth="1"/>
    <col min="13317" max="13329" width="10.140625" bestFit="1" customWidth="1"/>
    <col min="13572" max="13572" width="35.7109375" bestFit="1" customWidth="1"/>
    <col min="13573" max="13585" width="10.140625" bestFit="1" customWidth="1"/>
    <col min="13828" max="13828" width="35.7109375" bestFit="1" customWidth="1"/>
    <col min="13829" max="13841" width="10.140625" bestFit="1" customWidth="1"/>
    <col min="14084" max="14084" width="35.7109375" bestFit="1" customWidth="1"/>
    <col min="14085" max="14097" width="10.140625" bestFit="1" customWidth="1"/>
    <col min="14340" max="14340" width="35.7109375" bestFit="1" customWidth="1"/>
    <col min="14341" max="14353" width="10.140625" bestFit="1" customWidth="1"/>
    <col min="14596" max="14596" width="35.7109375" bestFit="1" customWidth="1"/>
    <col min="14597" max="14609" width="10.140625" bestFit="1" customWidth="1"/>
    <col min="14852" max="14852" width="35.7109375" bestFit="1" customWidth="1"/>
    <col min="14853" max="14865" width="10.140625" bestFit="1" customWidth="1"/>
    <col min="15108" max="15108" width="35.7109375" bestFit="1" customWidth="1"/>
    <col min="15109" max="15121" width="10.140625" bestFit="1" customWidth="1"/>
    <col min="15364" max="15364" width="35.7109375" bestFit="1" customWidth="1"/>
    <col min="15365" max="15377" width="10.140625" bestFit="1" customWidth="1"/>
    <col min="15620" max="15620" width="35.7109375" bestFit="1" customWidth="1"/>
    <col min="15621" max="15633" width="10.140625" bestFit="1" customWidth="1"/>
    <col min="15876" max="15876" width="35.7109375" bestFit="1" customWidth="1"/>
    <col min="15877" max="15889" width="10.140625" bestFit="1" customWidth="1"/>
    <col min="16132" max="16132" width="35.7109375" bestFit="1" customWidth="1"/>
    <col min="16133" max="16145" width="10.140625" bestFit="1" customWidth="1"/>
  </cols>
  <sheetData>
    <row r="1" spans="1:22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V1"/>
    </row>
    <row r="2" spans="1:22">
      <c r="A2" s="1999" t="s">
        <v>282</v>
      </c>
      <c r="B2" s="1999"/>
      <c r="C2" s="1999"/>
      <c r="D2" s="1999"/>
      <c r="E2" s="1999"/>
      <c r="F2" s="1999"/>
      <c r="G2" s="1999"/>
      <c r="H2" s="1999"/>
      <c r="I2" s="1999"/>
      <c r="J2" s="1999"/>
      <c r="K2" s="1999"/>
      <c r="L2" s="1999"/>
      <c r="M2" s="1999"/>
      <c r="N2" s="1999"/>
      <c r="O2" s="1999"/>
      <c r="P2" s="1999"/>
      <c r="Q2" s="1999"/>
      <c r="R2" s="1999"/>
      <c r="V2"/>
    </row>
    <row r="3" spans="1:2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V3"/>
    </row>
    <row r="4" spans="1:22" ht="13.5" thickBo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V4"/>
    </row>
    <row r="5" spans="1:22" ht="52.5" customHeight="1" thickTop="1" thickBot="1">
      <c r="A5" s="2000" t="s">
        <v>283</v>
      </c>
      <c r="B5" s="2001"/>
      <c r="C5" s="2001"/>
      <c r="D5" s="2001"/>
      <c r="E5" s="2001"/>
      <c r="F5" s="2001"/>
      <c r="G5" s="2001"/>
      <c r="H5" s="2001"/>
      <c r="I5" s="2001"/>
      <c r="J5" s="2001"/>
      <c r="K5" s="2001"/>
      <c r="L5" s="2001"/>
      <c r="M5" s="2001"/>
      <c r="N5" s="2001"/>
      <c r="O5" s="2001"/>
      <c r="P5" s="2001"/>
      <c r="Q5" s="2001"/>
      <c r="R5" s="2002"/>
      <c r="V5"/>
    </row>
    <row r="6" spans="1:22" ht="13.5" thickTop="1">
      <c r="A6" s="113"/>
      <c r="B6" s="113"/>
      <c r="C6" s="113"/>
      <c r="D6" s="266"/>
      <c r="E6" s="266"/>
      <c r="F6" s="266"/>
      <c r="G6" s="113"/>
      <c r="H6" s="266"/>
      <c r="I6" s="266"/>
      <c r="J6" s="266"/>
      <c r="K6" s="266"/>
      <c r="L6" s="113"/>
      <c r="M6" s="113"/>
      <c r="N6" s="266"/>
      <c r="O6" s="266"/>
      <c r="P6" s="266"/>
      <c r="Q6" s="266"/>
      <c r="R6" s="113"/>
      <c r="V6"/>
    </row>
    <row r="7" spans="1:22" ht="12.75" customHeight="1">
      <c r="A7" s="113"/>
      <c r="B7" s="2012" t="str">
        <f>'Recettes BP 2017'!B5</f>
        <v>Appel à projet GPEC-T</v>
      </c>
      <c r="C7" s="2012"/>
      <c r="D7" s="2017" t="s">
        <v>284</v>
      </c>
      <c r="E7" s="2018"/>
      <c r="F7" s="2018"/>
      <c r="G7" s="2018"/>
      <c r="H7" s="2018"/>
      <c r="I7" s="2018"/>
      <c r="J7" s="2018"/>
      <c r="K7" s="2018"/>
      <c r="L7" s="2018"/>
      <c r="M7" s="2018"/>
      <c r="N7" s="2018"/>
      <c r="O7" s="2019"/>
      <c r="P7" s="2016" t="str">
        <f>'Ss-bdt MDE - Dep'!AU5</f>
        <v>Clauses sociales
Thouars - Bressuire</v>
      </c>
      <c r="Q7" s="2016" t="str">
        <f>'Ss-bdt MDE - Dep'!AW5</f>
        <v>Clauses sociales
Loudun</v>
      </c>
      <c r="R7" s="2009" t="s">
        <v>285</v>
      </c>
      <c r="V7"/>
    </row>
    <row r="8" spans="1:22" ht="30.75" customHeight="1">
      <c r="A8" s="113"/>
      <c r="B8" s="2012"/>
      <c r="C8" s="2012"/>
      <c r="D8" s="2013" t="str">
        <f>'Recettes BP 2017'!E5</f>
        <v>Axe 1 Anticipation des mutations économiques</v>
      </c>
      <c r="E8" s="2014"/>
      <c r="F8" s="2015"/>
      <c r="G8" s="1505" t="str">
        <f>'Recettes BP 2017'!F5</f>
        <v>Axe 2 Développement de l'emploi local</v>
      </c>
      <c r="H8" s="1506"/>
      <c r="I8" s="2011" t="str">
        <f>'Recettes BP 2017'!F5</f>
        <v>Axe 2 Développement de l'emploi local</v>
      </c>
      <c r="J8" s="2011"/>
      <c r="K8" s="2011"/>
      <c r="L8" s="2011"/>
      <c r="M8" s="2011"/>
      <c r="N8" s="2011"/>
      <c r="O8" s="2010" t="s">
        <v>286</v>
      </c>
      <c r="P8" s="2016"/>
      <c r="Q8" s="2016"/>
      <c r="R8" s="2009"/>
      <c r="V8"/>
    </row>
    <row r="9" spans="1:22" ht="51">
      <c r="A9" s="114"/>
      <c r="B9" s="2012"/>
      <c r="C9" s="2012"/>
      <c r="D9" s="1739" t="str">
        <f>'Ss-bdt MDE - Dep'!O5</f>
        <v>Revitalisation et mutations économiques</v>
      </c>
      <c r="E9" s="1739" t="str">
        <f>'Ss-bdt MDE - Dep'!Q5</f>
        <v>GPEC-T intersectorielle</v>
      </c>
      <c r="F9" s="1739" t="str">
        <f>'Ss-bdt MDE - Dep'!S5</f>
        <v>GPEC-T s.a.p.</v>
      </c>
      <c r="G9" s="603" t="str">
        <f>'Ss-bdt MDE - Dep'!Y5</f>
        <v>Sensibilisat° des entreprises à la mobilité</v>
      </c>
      <c r="H9" s="603" t="str">
        <f>'Ss-bdt MDE - Dep'!AA5</f>
        <v>BAO Métier des services</v>
      </c>
      <c r="I9" s="1739" t="str">
        <f>'Ss-bdt MDE - Dep'!AC5</f>
        <v>Comité Technique d'Orientation</v>
      </c>
      <c r="J9" s="1739" t="str">
        <f>'Ss-bdt MDE - Dep'!AG5</f>
        <v>SPRO</v>
      </c>
      <c r="K9" s="603" t="str">
        <f>'Ss-bdt MDE - Dep'!AI5</f>
        <v>CTO =&gt; Création d'entreprises
(contrat de ville)</v>
      </c>
      <c r="L9" s="1738" t="str">
        <f>'Ss-bdt MDE - Dep'!AK5</f>
        <v>-</v>
      </c>
      <c r="M9" s="1739" t="str">
        <f>'Ss-bdt MDE - Dep'!AM5</f>
        <v>PRC – VAE</v>
      </c>
      <c r="N9" s="1739" t="str">
        <f>'Ss-bdt MDE - Dep'!AO5</f>
        <v>Pilotage des clauses sociales Thouars</v>
      </c>
      <c r="O9" s="2011"/>
      <c r="P9" s="2016"/>
      <c r="Q9" s="2016"/>
      <c r="R9" s="2009"/>
      <c r="V9"/>
    </row>
    <row r="10" spans="1:22" ht="20.25">
      <c r="A10" s="115" t="s">
        <v>203</v>
      </c>
      <c r="B10" s="525"/>
      <c r="C10" s="525"/>
      <c r="D10" s="525"/>
      <c r="E10" s="525"/>
      <c r="F10" s="604"/>
      <c r="G10" s="604"/>
      <c r="H10" s="604"/>
      <c r="I10" s="525"/>
      <c r="J10" s="525"/>
      <c r="K10" s="604"/>
      <c r="L10" s="525"/>
      <c r="M10" s="525"/>
      <c r="N10" s="525"/>
      <c r="O10" s="525"/>
      <c r="P10" s="525"/>
      <c r="Q10" s="525"/>
      <c r="R10" s="525"/>
      <c r="V10"/>
    </row>
    <row r="11" spans="1:22">
      <c r="A11" s="116" t="s">
        <v>280</v>
      </c>
      <c r="B11" s="271">
        <f>'Ss-bdt MDE - Dep'!B6</f>
        <v>12120.085951614756</v>
      </c>
      <c r="C11" s="271">
        <f>'Ss-bdt MDE - Dep'!D6</f>
        <v>0</v>
      </c>
      <c r="D11" s="271">
        <f>'Ss-bdt MDE - Dep'!O6</f>
        <v>23365.275022508904</v>
      </c>
      <c r="E11" s="271">
        <f>'Ss-bdt MDE - Dep'!Q6</f>
        <v>6089.2817191848744</v>
      </c>
      <c r="F11" s="271">
        <f>'Ss-bdt MDE - Dep'!S6</f>
        <v>2199.5789300722963</v>
      </c>
      <c r="G11" s="271">
        <f>'Ss-bdt MDE - Dep'!Y6</f>
        <v>0</v>
      </c>
      <c r="H11" s="271">
        <f>'Ss-bdt MDE - Dep'!AA6</f>
        <v>0</v>
      </c>
      <c r="I11" s="271">
        <f>'Ss-bdt MDE - Dep'!AC6</f>
        <v>31592.687203586669</v>
      </c>
      <c r="J11" s="271">
        <f>'Ss-bdt MDE - Dep'!AG6</f>
        <v>26296.150587251872</v>
      </c>
      <c r="K11" s="605">
        <f>'Ss-bdt MDE - Dep'!AI6</f>
        <v>3271.8001355333577</v>
      </c>
      <c r="L11" s="271">
        <f>'Ss-bdt MDE - Dep'!AK6</f>
        <v>25.378961265787733</v>
      </c>
      <c r="M11" s="271">
        <f>'Ss-bdt MDE - Dep'!AM6</f>
        <v>4680.1082231508626</v>
      </c>
      <c r="N11" s="271">
        <f>'Ss-bdt MDE - Dep'!AO6</f>
        <v>10003.298291560826</v>
      </c>
      <c r="O11" s="271">
        <f>D11+E11+F11+J11+K11+I11+L11+M11+N11</f>
        <v>107523.55907411544</v>
      </c>
      <c r="P11" s="271">
        <f>'Ss-bdt MDE - Dep'!AU6</f>
        <v>30349.916866334839</v>
      </c>
      <c r="Q11" s="271">
        <f>'Ss-bdt MDE - Dep'!AW6</f>
        <v>575.29554137820435</v>
      </c>
      <c r="R11" s="271">
        <f>B11+D11+E11+F11+I11+J11+K11+L11+M11+N11+P11+Q11</f>
        <v>150568.85743344325</v>
      </c>
      <c r="V11"/>
    </row>
    <row r="12" spans="1:22">
      <c r="A12" s="117" t="s">
        <v>287</v>
      </c>
      <c r="B12" s="271">
        <f>'Ss-bdt MDE - Dep'!B58</f>
        <v>39.379608370318891</v>
      </c>
      <c r="C12" s="271">
        <f>'Ss-bdt MDE - Dep'!D58</f>
        <v>0</v>
      </c>
      <c r="D12" s="271">
        <f>'Ss-bdt MDE - Dep'!O58</f>
        <v>78.529949822109884</v>
      </c>
      <c r="E12" s="271">
        <f>'Ss-bdt MDE - Dep'!Q58</f>
        <v>12.424187110899855</v>
      </c>
      <c r="F12" s="271">
        <f>'Ss-bdt MDE - Dep'!S58</f>
        <v>7.4762105552724902</v>
      </c>
      <c r="G12" s="271">
        <f>'Ss-bdt MDE - Dep'!Y58</f>
        <v>0</v>
      </c>
      <c r="H12" s="271">
        <f>'Ss-bdt MDE - Dep'!AA58</f>
        <v>0</v>
      </c>
      <c r="I12" s="271">
        <f>'Ss-bdt MDE - Dep'!AC58</f>
        <v>101.00923342358584</v>
      </c>
      <c r="J12" s="271">
        <f>'Ss-bdt MDE - Dep'!AG58</f>
        <v>119.85098199662271</v>
      </c>
      <c r="K12" s="605">
        <f>'Ss-bdt MDE - Dep'!AI58</f>
        <v>10.895543817874792</v>
      </c>
      <c r="L12" s="271">
        <f>'Ss-bdt MDE - Dep'!AK58</f>
        <v>9.1328004787686795E-2</v>
      </c>
      <c r="M12" s="271">
        <f>'Ss-bdt MDE - Dep'!AM58</f>
        <v>16.500613650051651</v>
      </c>
      <c r="N12" s="271">
        <f>'Ss-bdt MDE - Dep'!AO58</f>
        <v>27.238859544686974</v>
      </c>
      <c r="O12" s="271">
        <f t="shared" ref="O12:O16" si="0">D12+E12+F12+J12+K12+I12+L12+M12+N12</f>
        <v>374.01690792589187</v>
      </c>
      <c r="P12" s="271">
        <f>'Ss-bdt MDE - Dep'!AU58</f>
        <v>99.871185211419032</v>
      </c>
      <c r="Q12" s="271">
        <f>'Ss-bdt MDE - Dep'!AW58</f>
        <v>1.8931006571559263</v>
      </c>
      <c r="R12" s="271">
        <f t="shared" ref="R12:R16" si="1">B12+D12+E12+F12+I12+J12+K12+L12+M12+N12+P12+Q12</f>
        <v>515.16080216478576</v>
      </c>
      <c r="V12"/>
    </row>
    <row r="13" spans="1:22">
      <c r="A13" s="116" t="s">
        <v>288</v>
      </c>
      <c r="B13" s="271">
        <f>'Ss-bdt MDE - Dep'!B68+'Ss-bdt MDE - Dep'!B90</f>
        <v>4536.6921778821888</v>
      </c>
      <c r="C13" s="271">
        <f>'Ss-bdt MDE - Dep'!D68+'Ss-bdt MDE - Dep'!D90</f>
        <v>0</v>
      </c>
      <c r="D13" s="271">
        <f>'Ss-bdt MDE - Dep'!O68+'Ss-bdt MDE - Dep'!O90</f>
        <v>6062.138378062943</v>
      </c>
      <c r="E13" s="271">
        <f>'Ss-bdt MDE - Dep'!Q68+'Ss-bdt MDE - Dep'!Q90</f>
        <v>3410.7455669013525</v>
      </c>
      <c r="F13" s="271">
        <f>'Ss-bdt MDE - Dep'!S68+'Ss-bdt MDE - Dep'!S90</f>
        <v>548.03791665870733</v>
      </c>
      <c r="G13" s="271">
        <f>'Ss-bdt MDE - Dep'!Y68+'Ss-bdt MDE - Dep'!Y90</f>
        <v>0</v>
      </c>
      <c r="H13" s="271">
        <f>'Ss-bdt MDE - Dep'!AA68+'Ss-bdt MDE - Dep'!AA90</f>
        <v>0</v>
      </c>
      <c r="I13" s="271">
        <f>'Ss-bdt MDE - Dep'!AC68+'Ss-bdt MDE - Dep'!AC90</f>
        <v>8965.0803560003478</v>
      </c>
      <c r="J13" s="271">
        <f>'Ss-bdt MDE - Dep'!AG68+'Ss-bdt MDE - Dep'!AG90</f>
        <v>8785.5848892066642</v>
      </c>
      <c r="K13" s="605">
        <f>'Ss-bdt MDE - Dep'!AI68+'Ss-bdt MDE - Dep'!AI90</f>
        <v>2028.9692763600738</v>
      </c>
      <c r="L13" s="271">
        <f>'Ss-bdt MDE - Dep'!AK68+'Ss-bdt MDE - Dep'!AK90</f>
        <v>6.6947297840805771</v>
      </c>
      <c r="M13" s="271">
        <f>'Ss-bdt MDE - Dep'!AM68+'Ss-bdt MDE - Dep'!AM90</f>
        <v>1209.5649074499538</v>
      </c>
      <c r="N13" s="271">
        <f>'Ss-bdt MDE - Dep'!AO68+'Ss-bdt MDE - Dep'!AO90</f>
        <v>1996.7238384560608</v>
      </c>
      <c r="O13" s="271">
        <f t="shared" si="0"/>
        <v>33013.539858880184</v>
      </c>
      <c r="P13" s="271">
        <f>'Ss-bdt MDE - Dep'!AU68+'Ss-bdt MDE - Dep'!AU90</f>
        <v>8826.4180410958816</v>
      </c>
      <c r="Q13" s="271">
        <f>'Ss-bdt MDE - Dep'!AW68+'Ss-bdt MDE - Dep'!AW90</f>
        <v>146.65988802040539</v>
      </c>
      <c r="R13" s="271">
        <f t="shared" si="1"/>
        <v>46523.30996587866</v>
      </c>
      <c r="V13"/>
    </row>
    <row r="14" spans="1:22">
      <c r="A14" s="117" t="s">
        <v>47</v>
      </c>
      <c r="B14" s="271">
        <f>'Ss-bdt MDE - Dep'!B62</f>
        <v>87.59953698703589</v>
      </c>
      <c r="C14" s="271">
        <f>'Ss-bdt MDE - Dep'!D62</f>
        <v>0</v>
      </c>
      <c r="D14" s="271">
        <f>'Ss-bdt MDE - Dep'!O62</f>
        <v>174.68907205326485</v>
      </c>
      <c r="E14" s="271">
        <f>'Ss-bdt MDE - Dep'!Q62</f>
        <v>27.637477450777229</v>
      </c>
      <c r="F14" s="271">
        <f>'Ss-bdt MDE - Dep'!S62</f>
        <v>16.630754092340844</v>
      </c>
      <c r="G14" s="271">
        <f>'Ss-bdt MDE - Dep'!Y62</f>
        <v>0</v>
      </c>
      <c r="H14" s="271">
        <f>'Ss-bdt MDE - Dep'!AA62</f>
        <v>0</v>
      </c>
      <c r="I14" s="271">
        <f>'Ss-bdt MDE - Dep'!AC62</f>
        <v>224.69400904430321</v>
      </c>
      <c r="J14" s="271">
        <f>'Ss-bdt MDE - Dep'!AG62</f>
        <v>266.60728648228314</v>
      </c>
      <c r="K14" s="605">
        <f>'Ss-bdt MDE - Dep'!AI62</f>
        <v>24.237026043843926</v>
      </c>
      <c r="L14" s="271">
        <f>'Ss-bdt MDE - Dep'!AK62</f>
        <v>0.2031582147317931</v>
      </c>
      <c r="M14" s="271">
        <f>'Ss-bdt MDE - Dep'!AM62</f>
        <v>36.705446690931225</v>
      </c>
      <c r="N14" s="271">
        <f>'Ss-bdt MDE - Dep'!AO62</f>
        <v>60.592565109609808</v>
      </c>
      <c r="O14" s="271">
        <f t="shared" si="0"/>
        <v>831.99679518208609</v>
      </c>
      <c r="P14" s="271">
        <f>'Ss-bdt MDE - Dep'!AU62</f>
        <v>222.162432409075</v>
      </c>
      <c r="Q14" s="271">
        <f>'Ss-bdt MDE - Dep'!AW62</f>
        <v>4.2111830944897131</v>
      </c>
      <c r="R14" s="271">
        <f t="shared" si="1"/>
        <v>1145.9699476726867</v>
      </c>
      <c r="V14"/>
    </row>
    <row r="15" spans="1:22">
      <c r="A15" s="118" t="s">
        <v>113</v>
      </c>
      <c r="B15" s="271">
        <f>'Ss-bdt MDE - Dep'!B121</f>
        <v>0</v>
      </c>
      <c r="C15" s="271">
        <f>'Ss-bdt MDE - Dep'!D121</f>
        <v>0</v>
      </c>
      <c r="D15" s="271">
        <f>'Ss-bdt MDE - Dep'!O121</f>
        <v>0</v>
      </c>
      <c r="E15" s="271">
        <f>'Ss-bdt MDE - Dep'!Q121</f>
        <v>0</v>
      </c>
      <c r="F15" s="271">
        <f>'Ss-bdt MDE - Dep'!S121</f>
        <v>0</v>
      </c>
      <c r="G15" s="271">
        <f>'Ss-bdt MDE - Dep'!Y121</f>
        <v>0</v>
      </c>
      <c r="H15" s="271">
        <f>'Ss-bdt MDE - Dep'!AA121</f>
        <v>0</v>
      </c>
      <c r="I15" s="271">
        <f>'Ss-bdt MDE - Dep'!AC121</f>
        <v>0</v>
      </c>
      <c r="J15" s="271">
        <f>'Ss-bdt MDE - Dep'!AG121</f>
        <v>0</v>
      </c>
      <c r="K15" s="605">
        <f>'Ss-bdt MDE - Dep'!AI121</f>
        <v>0</v>
      </c>
      <c r="L15" s="271">
        <f>'Ss-bdt MDE - Dep'!AK121</f>
        <v>0</v>
      </c>
      <c r="M15" s="271">
        <f>'Ss-bdt MDE - Dep'!AM121</f>
        <v>0</v>
      </c>
      <c r="N15" s="271">
        <f>'Ss-bdt MDE - Dep'!AO121</f>
        <v>0</v>
      </c>
      <c r="O15" s="271">
        <f t="shared" si="0"/>
        <v>0</v>
      </c>
      <c r="P15" s="271">
        <f>'Ss-bdt MDE - Dep'!AU121</f>
        <v>0</v>
      </c>
      <c r="Q15" s="271">
        <f>'Ss-bdt MDE - Dep'!AW121</f>
        <v>0</v>
      </c>
      <c r="R15" s="271">
        <f t="shared" si="1"/>
        <v>0</v>
      </c>
      <c r="V15" s="279"/>
    </row>
    <row r="16" spans="1:22">
      <c r="A16" s="116" t="s">
        <v>289</v>
      </c>
      <c r="B16" s="272">
        <f>'Ss-bdt MDE - Dep'!B124</f>
        <v>115.72782868012081</v>
      </c>
      <c r="C16" s="272">
        <f>'Ss-bdt MDE - Dep'!D124</f>
        <v>0</v>
      </c>
      <c r="D16" s="272">
        <f>'Ss-bdt MDE - Dep'!O124</f>
        <v>230.78189335477191</v>
      </c>
      <c r="E16" s="272">
        <f>'Ss-bdt MDE - Dep'!Q124</f>
        <v>36.511896815705704</v>
      </c>
      <c r="F16" s="272">
        <f>'Ss-bdt MDE - Dep'!S124</f>
        <v>21.970904488964052</v>
      </c>
      <c r="G16" s="272">
        <f>'Ss-bdt MDE - Dep'!Y124</f>
        <v>0</v>
      </c>
      <c r="H16" s="272">
        <f>'Ss-bdt MDE - Dep'!AA124</f>
        <v>0</v>
      </c>
      <c r="I16" s="272">
        <f>'Ss-bdt MDE - Dep'!AC124</f>
        <v>296.84346148972168</v>
      </c>
      <c r="J16" s="272">
        <f>'Ss-bdt MDE - Dep'!AG124</f>
        <v>352.21513076558506</v>
      </c>
      <c r="K16" s="606">
        <f>'Ss-bdt MDE - Dep'!AI124</f>
        <v>32.019557342325918</v>
      </c>
      <c r="L16" s="272">
        <f>'Ss-bdt MDE - Dep'!AK124</f>
        <v>0.26839250386585506</v>
      </c>
      <c r="M16" s="272">
        <f>'Ss-bdt MDE - Dep'!AM124</f>
        <v>48.491599298110977</v>
      </c>
      <c r="N16" s="272">
        <f>'Ss-bdt MDE - Dep'!AO124</f>
        <v>80.048893355814783</v>
      </c>
      <c r="O16" s="271">
        <f t="shared" si="0"/>
        <v>1099.1517294148659</v>
      </c>
      <c r="P16" s="272">
        <f>'Ss-bdt MDE - Dep'!AU124</f>
        <v>293.4989932743743</v>
      </c>
      <c r="Q16" s="272">
        <f>'Ss-bdt MDE - Dep'!AW124</f>
        <v>5.5633978496010892</v>
      </c>
      <c r="R16" s="271">
        <f t="shared" si="1"/>
        <v>1513.9419492189622</v>
      </c>
      <c r="V16"/>
    </row>
    <row r="17" spans="1:24" s="583" customFormat="1" ht="18">
      <c r="A17" s="120" t="s">
        <v>220</v>
      </c>
      <c r="B17" s="273">
        <f t="shared" ref="B17:R17" si="2">SUM(B11:B16)</f>
        <v>16899.485103534418</v>
      </c>
      <c r="C17" s="273">
        <f t="shared" si="2"/>
        <v>0</v>
      </c>
      <c r="D17" s="273">
        <f t="shared" si="2"/>
        <v>29911.414315801994</v>
      </c>
      <c r="E17" s="273">
        <f t="shared" si="2"/>
        <v>9576.6008474636092</v>
      </c>
      <c r="F17" s="273">
        <f>SUM(F11:F16)</f>
        <v>2793.6947158675812</v>
      </c>
      <c r="G17" s="273">
        <f>SUM(G11:G16)</f>
        <v>0</v>
      </c>
      <c r="H17" s="273">
        <f>SUM(H11:H16)</f>
        <v>0</v>
      </c>
      <c r="I17" s="273">
        <f t="shared" si="2"/>
        <v>41180.314263544627</v>
      </c>
      <c r="J17" s="273">
        <f>SUM(J11:J16)</f>
        <v>35820.408875703033</v>
      </c>
      <c r="K17" s="607">
        <f t="shared" si="2"/>
        <v>5367.9215390974759</v>
      </c>
      <c r="L17" s="273">
        <f t="shared" si="2"/>
        <v>32.636569773253647</v>
      </c>
      <c r="M17" s="273">
        <f t="shared" si="2"/>
        <v>5991.3707902399101</v>
      </c>
      <c r="N17" s="273">
        <f t="shared" si="2"/>
        <v>12167.902448026998</v>
      </c>
      <c r="O17" s="273">
        <f>D17+E17+F17+I17+J17+L17+M17+N17</f>
        <v>137474.34282642099</v>
      </c>
      <c r="P17" s="273">
        <f t="shared" ref="P17:Q17" si="3">SUM(P11:P16)</f>
        <v>39791.867518325591</v>
      </c>
      <c r="Q17" s="273">
        <f t="shared" si="3"/>
        <v>733.62311099985641</v>
      </c>
      <c r="R17" s="273">
        <f t="shared" si="2"/>
        <v>200267.24009837833</v>
      </c>
      <c r="T17" s="584"/>
      <c r="U17" s="584"/>
    </row>
    <row r="18" spans="1:24" s="583" customFormat="1">
      <c r="A18" s="122"/>
      <c r="B18" s="585"/>
      <c r="C18" s="586" t="e">
        <f>C17/#REF!</f>
        <v>#REF!</v>
      </c>
      <c r="D18" s="586"/>
      <c r="E18" s="586"/>
      <c r="F18" s="290"/>
      <c r="G18" s="290"/>
      <c r="H18" s="290"/>
      <c r="I18" s="586"/>
      <c r="J18" s="586"/>
      <c r="K18" s="290"/>
      <c r="L18" s="586"/>
      <c r="M18" s="586"/>
      <c r="N18" s="586"/>
      <c r="O18" s="587"/>
      <c r="P18" s="587"/>
      <c r="Q18" s="587"/>
      <c r="R18" s="585"/>
    </row>
    <row r="19" spans="1:24" s="583" customFormat="1">
      <c r="A19" s="122"/>
      <c r="B19" s="585"/>
      <c r="C19" s="586"/>
      <c r="D19" s="601"/>
      <c r="E19" s="601">
        <f>E17/($E$17+$F$17+$I$17+$L$17+$N$17)</f>
        <v>0.14564917899893143</v>
      </c>
      <c r="F19" s="601">
        <f t="shared" ref="F19:I19" si="4">F17/($E$17+$F$17+$I$17+$L$17+$N$17)</f>
        <v>4.2488911067806973E-2</v>
      </c>
      <c r="G19" s="601">
        <f t="shared" si="4"/>
        <v>0</v>
      </c>
      <c r="H19" s="601">
        <f t="shared" si="4"/>
        <v>0</v>
      </c>
      <c r="I19" s="601">
        <f t="shared" si="4"/>
        <v>0.62630562335610096</v>
      </c>
      <c r="J19" s="601"/>
      <c r="K19" s="601"/>
      <c r="L19" s="601"/>
      <c r="M19" s="601"/>
      <c r="N19" s="601">
        <f>N17/($E$17+$F$17+$I$17+$L$17+$N$17)</f>
        <v>0.18505992156534376</v>
      </c>
      <c r="O19" s="587"/>
      <c r="P19" s="601">
        <f>P17/($E$17+$F$17+$I$17+$L$17+$N$17+$P$17)</f>
        <v>0.37702037415215206</v>
      </c>
      <c r="Q19" s="587"/>
      <c r="R19" s="585"/>
    </row>
    <row r="20" spans="1:24" s="583" customFormat="1" ht="20.25">
      <c r="A20" s="121" t="s">
        <v>222</v>
      </c>
      <c r="B20" s="585"/>
      <c r="C20" s="586">
        <v>1</v>
      </c>
      <c r="D20" s="601">
        <v>1</v>
      </c>
      <c r="E20" s="601">
        <v>1</v>
      </c>
      <c r="F20" s="601">
        <v>1</v>
      </c>
      <c r="G20" s="608">
        <v>1</v>
      </c>
      <c r="H20" s="608">
        <v>1</v>
      </c>
      <c r="I20" s="601">
        <v>1</v>
      </c>
      <c r="J20" s="601">
        <v>1</v>
      </c>
      <c r="K20" s="608">
        <v>1</v>
      </c>
      <c r="L20" s="601">
        <v>1</v>
      </c>
      <c r="M20" s="601">
        <v>1</v>
      </c>
      <c r="N20" s="601">
        <v>1</v>
      </c>
      <c r="O20" s="587"/>
      <c r="P20" s="587"/>
      <c r="Q20" s="587"/>
      <c r="R20" s="585"/>
    </row>
    <row r="21" spans="1:24" s="583" customFormat="1">
      <c r="A21" s="269" t="s">
        <v>290</v>
      </c>
      <c r="B21" s="290">
        <f>B23/B29</f>
        <v>0.61419408993045066</v>
      </c>
      <c r="C21" s="290" t="e">
        <f>C23/C29</f>
        <v>#DIV/0!</v>
      </c>
      <c r="D21" s="290">
        <f t="shared" ref="D21:Q21" si="5">D23/D29</f>
        <v>0</v>
      </c>
      <c r="E21" s="290">
        <f t="shared" si="5"/>
        <v>0.88113962264806167</v>
      </c>
      <c r="F21" s="290">
        <f t="shared" si="5"/>
        <v>0.88113962264806145</v>
      </c>
      <c r="G21" s="290" t="e">
        <f t="shared" si="5"/>
        <v>#DIV/0!</v>
      </c>
      <c r="H21" s="290" t="e">
        <f t="shared" si="5"/>
        <v>#DIV/0!</v>
      </c>
      <c r="I21" s="290">
        <f t="shared" si="5"/>
        <v>0.88113962264806167</v>
      </c>
      <c r="J21" s="290">
        <f>J23/J29</f>
        <v>0</v>
      </c>
      <c r="K21" s="290">
        <f t="shared" si="5"/>
        <v>0</v>
      </c>
      <c r="L21" s="290">
        <f>L23/L29</f>
        <v>0</v>
      </c>
      <c r="M21" s="290">
        <f t="shared" si="5"/>
        <v>0</v>
      </c>
      <c r="N21" s="290">
        <f t="shared" si="5"/>
        <v>0.88113962264806156</v>
      </c>
      <c r="O21" s="290">
        <f>O23/O29</f>
        <v>0.42119532513205032</v>
      </c>
      <c r="P21" s="290">
        <f t="shared" si="5"/>
        <v>0.34660015672734984</v>
      </c>
      <c r="Q21" s="290">
        <f t="shared" si="5"/>
        <v>0</v>
      </c>
      <c r="R21" s="290">
        <f>R23/R17</f>
        <v>0.40984544680579849</v>
      </c>
    </row>
    <row r="22" spans="1:24">
      <c r="A22" s="269" t="s">
        <v>291</v>
      </c>
      <c r="B22" s="290">
        <f>(B24+B25+B28)/B29</f>
        <v>0.38580591006954934</v>
      </c>
      <c r="C22" s="290" t="e">
        <f t="shared" ref="C22:N22" si="6">(C24+C25+C28)/C29</f>
        <v>#DIV/0!</v>
      </c>
      <c r="D22" s="290">
        <f t="shared" si="6"/>
        <v>1</v>
      </c>
      <c r="E22" s="290">
        <f t="shared" si="6"/>
        <v>0.11886037735193837</v>
      </c>
      <c r="F22" s="290">
        <f t="shared" si="6"/>
        <v>0.1188603773519385</v>
      </c>
      <c r="G22" s="290" t="e">
        <f t="shared" si="6"/>
        <v>#DIV/0!</v>
      </c>
      <c r="H22" s="290" t="e">
        <f t="shared" si="6"/>
        <v>#DIV/0!</v>
      </c>
      <c r="I22" s="290">
        <f t="shared" si="6"/>
        <v>0.11886037735193836</v>
      </c>
      <c r="J22" s="290">
        <f>(J24+J25+J28)/J29</f>
        <v>0.79445684091579216</v>
      </c>
      <c r="K22" s="290">
        <f t="shared" si="6"/>
        <v>0.25483262546484026</v>
      </c>
      <c r="L22" s="290">
        <f t="shared" si="6"/>
        <v>1</v>
      </c>
      <c r="M22" s="290">
        <f t="shared" si="6"/>
        <v>0</v>
      </c>
      <c r="N22" s="290">
        <f t="shared" si="6"/>
        <v>0.11886037735193843</v>
      </c>
      <c r="O22" s="290">
        <f>(O24+O25+O28)/O29</f>
        <v>0.49155955437589421</v>
      </c>
      <c r="P22" s="290"/>
      <c r="Q22" s="290"/>
      <c r="R22" s="290">
        <f>100%-R21</f>
        <v>0.59015455319420151</v>
      </c>
      <c r="S22" s="285" t="s">
        <v>292</v>
      </c>
      <c r="T22" s="285" t="s">
        <v>46</v>
      </c>
      <c r="U22" s="285" t="s">
        <v>293</v>
      </c>
    </row>
    <row r="23" spans="1:24">
      <c r="A23" s="268" t="s">
        <v>294</v>
      </c>
      <c r="B23" s="270">
        <v>10379.56387345853</v>
      </c>
      <c r="C23" s="270"/>
      <c r="D23" s="270">
        <f t="shared" ref="D23:M23" si="7">($S$23)*D19</f>
        <v>0</v>
      </c>
      <c r="E23" s="270">
        <f>($S$23-$P$23)*E19</f>
        <v>8438.3224569851918</v>
      </c>
      <c r="F23" s="270">
        <f t="shared" ref="F23:I23" si="8">($S$23-$P$23)*F19</f>
        <v>2461.6351077334439</v>
      </c>
      <c r="G23" s="270">
        <f t="shared" si="8"/>
        <v>0</v>
      </c>
      <c r="H23" s="270">
        <f t="shared" si="8"/>
        <v>0</v>
      </c>
      <c r="I23" s="270">
        <f t="shared" si="8"/>
        <v>36285.606570708303</v>
      </c>
      <c r="J23" s="270">
        <f t="shared" si="7"/>
        <v>0</v>
      </c>
      <c r="K23" s="270">
        <f t="shared" si="7"/>
        <v>0</v>
      </c>
      <c r="L23" s="270">
        <f t="shared" si="7"/>
        <v>0</v>
      </c>
      <c r="M23" s="270">
        <f t="shared" si="7"/>
        <v>0</v>
      </c>
      <c r="N23" s="270">
        <f>($S$23-$P$23)*N19</f>
        <v>10721.620971472934</v>
      </c>
      <c r="O23" s="271">
        <f>D23+E23+F23+I23+J23+L23+M23+N23</f>
        <v>57907.185106899873</v>
      </c>
      <c r="P23" s="270">
        <f>P17-P24-P28</f>
        <v>13791.867518325591</v>
      </c>
      <c r="Q23" s="270"/>
      <c r="R23" s="270">
        <f t="shared" ref="R23:R26" si="9">B23+C23+D23+E23+F23+I23+J23+K23+L23+M23+N23+P23+Q23</f>
        <v>82078.616498683987</v>
      </c>
      <c r="S23" s="277">
        <f>'Recettes BP 2017'!H7</f>
        <v>71727.81</v>
      </c>
      <c r="T23" s="278">
        <f>R23/R29</f>
        <v>0.40982497042071209</v>
      </c>
      <c r="U23" s="277">
        <f>S23-O23-P23</f>
        <v>28.757374774533673</v>
      </c>
      <c r="V23" s="599">
        <v>0.6</v>
      </c>
      <c r="W23" s="279">
        <f>O23</f>
        <v>57907.185106899873</v>
      </c>
      <c r="X23" s="279">
        <f>S23-W23</f>
        <v>13820.624893100125</v>
      </c>
    </row>
    <row r="24" spans="1:24">
      <c r="A24" s="268" t="s">
        <v>295</v>
      </c>
      <c r="B24" s="270">
        <f>B17-B23-B28</f>
        <v>5019.9212300758882</v>
      </c>
      <c r="C24" s="270"/>
      <c r="D24" s="270">
        <f>D17-D23-D25-D26-D27-D28</f>
        <v>1111.4143158019942</v>
      </c>
      <c r="E24" s="270">
        <f t="shared" ref="E24:N24" si="10">E17-E23-E25-E26-E27-E28</f>
        <v>1138.2783904784174</v>
      </c>
      <c r="F24" s="270">
        <f t="shared" si="10"/>
        <v>332.05960813413731</v>
      </c>
      <c r="G24" s="270">
        <f t="shared" si="10"/>
        <v>0</v>
      </c>
      <c r="H24" s="270">
        <f t="shared" si="10"/>
        <v>0</v>
      </c>
      <c r="I24" s="270">
        <f t="shared" si="10"/>
        <v>4894.707692836324</v>
      </c>
      <c r="J24" s="270">
        <f t="shared" si="10"/>
        <v>6369.8688757030313</v>
      </c>
      <c r="K24" s="270">
        <f t="shared" si="10"/>
        <v>1367.9215390974759</v>
      </c>
      <c r="L24" s="270">
        <f t="shared" si="10"/>
        <v>32.636569773253647</v>
      </c>
      <c r="M24" s="270"/>
      <c r="N24" s="270">
        <f t="shared" si="10"/>
        <v>1446.2814765540643</v>
      </c>
      <c r="O24" s="271">
        <f>D24+E24+F24+I24+J24+K24+L24+M24+N24</f>
        <v>16693.168468378699</v>
      </c>
      <c r="P24" s="270">
        <f>P28</f>
        <v>13000</v>
      </c>
      <c r="Q24" s="270">
        <f>367.5*2</f>
        <v>735</v>
      </c>
      <c r="R24" s="270">
        <f t="shared" si="9"/>
        <v>35448.089698454583</v>
      </c>
      <c r="S24" s="277">
        <f>'Recettes BP 2017'!H31</f>
        <v>35334.747499999998</v>
      </c>
      <c r="T24" s="2003">
        <f>(R24+R28)/R29</f>
        <v>0.39319538886080252</v>
      </c>
      <c r="U24" s="277">
        <f>R24-S24</f>
        <v>113.34219845458574</v>
      </c>
      <c r="V24" s="599">
        <v>0.4</v>
      </c>
      <c r="W24" s="279">
        <f>W25-W23</f>
        <v>38604.79007126658</v>
      </c>
      <c r="X24" s="279">
        <f>(S24+S28)-W24</f>
        <v>40029.957428733418</v>
      </c>
    </row>
    <row r="25" spans="1:24">
      <c r="A25" s="122" t="s">
        <v>150</v>
      </c>
      <c r="B25" s="270"/>
      <c r="C25" s="270"/>
      <c r="D25" s="270"/>
      <c r="E25" s="270"/>
      <c r="F25" s="609"/>
      <c r="G25" s="609"/>
      <c r="H25" s="609"/>
      <c r="I25" s="270"/>
      <c r="J25" s="270">
        <v>22087.9</v>
      </c>
      <c r="K25" s="609"/>
      <c r="L25" s="270"/>
      <c r="M25" s="270"/>
      <c r="N25" s="270"/>
      <c r="O25" s="271">
        <f>D25+E25+F25+I25+J25+L25+M25+N25</f>
        <v>22087.9</v>
      </c>
      <c r="P25" s="270"/>
      <c r="Q25" s="270"/>
      <c r="R25" s="270">
        <f t="shared" si="9"/>
        <v>22087.9</v>
      </c>
      <c r="S25" s="277">
        <f>'Recettes BP 2017'!H23+'Recettes BP 2017'!H38</f>
        <v>0</v>
      </c>
      <c r="T25" s="2004"/>
      <c r="U25" s="277"/>
      <c r="V25" s="599">
        <v>1</v>
      </c>
      <c r="W25">
        <f>(W23*V25)/V23</f>
        <v>96511.975178166453</v>
      </c>
    </row>
    <row r="26" spans="1:24">
      <c r="A26" s="268" t="s">
        <v>296</v>
      </c>
      <c r="B26" s="270"/>
      <c r="C26" s="270"/>
      <c r="D26" s="270"/>
      <c r="E26" s="270"/>
      <c r="F26" s="609"/>
      <c r="G26" s="609"/>
      <c r="H26" s="609"/>
      <c r="I26" s="270"/>
      <c r="J26" s="270">
        <v>7362.64</v>
      </c>
      <c r="K26" s="609"/>
      <c r="L26" s="270"/>
      <c r="M26" s="270">
        <v>6000</v>
      </c>
      <c r="N26" s="270"/>
      <c r="O26" s="271">
        <f>D26+E26+F26+I26+J26+L26+M26+N26</f>
        <v>13362.64</v>
      </c>
      <c r="P26" s="270"/>
      <c r="Q26" s="270"/>
      <c r="R26" s="270">
        <f t="shared" si="9"/>
        <v>13362.64</v>
      </c>
      <c r="S26" s="277">
        <f>'Recettes BP 2017'!H24</f>
        <v>35450.54</v>
      </c>
      <c r="T26" s="2004"/>
      <c r="U26" s="277">
        <f>R26-S26</f>
        <v>-22087.9</v>
      </c>
      <c r="V26" s="599"/>
    </row>
    <row r="27" spans="1:24">
      <c r="A27" s="268" t="s">
        <v>297</v>
      </c>
      <c r="B27" s="270"/>
      <c r="C27" s="270"/>
      <c r="D27" s="270"/>
      <c r="E27" s="270"/>
      <c r="F27" s="609"/>
      <c r="G27" s="609"/>
      <c r="H27" s="609"/>
      <c r="I27" s="279"/>
      <c r="J27" s="270"/>
      <c r="K27" s="609">
        <v>4000</v>
      </c>
      <c r="L27" s="270"/>
      <c r="M27" s="270"/>
      <c r="N27" s="270"/>
      <c r="O27" s="271"/>
      <c r="P27" s="270"/>
      <c r="Q27" s="270"/>
      <c r="R27" s="270">
        <f>B27+C27+D27+E27+F27+I27+J27+K27+L27+M27+N27+P27+Q27</f>
        <v>4000</v>
      </c>
      <c r="S27" s="614">
        <f>'Recettes BP 2017'!H18</f>
        <v>4000</v>
      </c>
      <c r="T27" s="2004"/>
      <c r="U27" s="277">
        <f>R27-S27</f>
        <v>0</v>
      </c>
      <c r="V27" s="599"/>
    </row>
    <row r="28" spans="1:24">
      <c r="A28" s="216" t="s">
        <v>298</v>
      </c>
      <c r="B28" s="270">
        <v>1500</v>
      </c>
      <c r="C28" s="270"/>
      <c r="D28" s="270">
        <f>28800</f>
        <v>28800</v>
      </c>
      <c r="E28" s="270"/>
      <c r="F28" s="609"/>
      <c r="G28" s="609"/>
      <c r="H28" s="609"/>
      <c r="I28" s="270"/>
      <c r="J28" s="270"/>
      <c r="K28" s="609"/>
      <c r="L28" s="270"/>
      <c r="M28" s="270"/>
      <c r="N28" s="613"/>
      <c r="O28" s="271">
        <f>D28+E28+F28+I28+J28+L28+M28+N28</f>
        <v>28800</v>
      </c>
      <c r="P28" s="613">
        <v>13000</v>
      </c>
      <c r="Q28" s="613"/>
      <c r="R28" s="270">
        <f>B28+C28+D28+E28+F28+I28+J28+K28+L28+M28+N28+P28+Q28</f>
        <v>43300</v>
      </c>
      <c r="S28" s="614">
        <f>'Recettes BP 2017'!H39</f>
        <v>43300</v>
      </c>
      <c r="T28" s="2005"/>
      <c r="U28" s="277">
        <f>R28-S28</f>
        <v>0</v>
      </c>
    </row>
    <row r="29" spans="1:24" ht="18">
      <c r="A29" s="120" t="s">
        <v>220</v>
      </c>
      <c r="B29" s="273">
        <f>SUM(B23:B28)</f>
        <v>16899.485103534418</v>
      </c>
      <c r="C29" s="273">
        <f t="shared" ref="C29:Q29" si="11">SUM(C23:C28)</f>
        <v>0</v>
      </c>
      <c r="D29" s="273">
        <f t="shared" si="11"/>
        <v>29911.414315801994</v>
      </c>
      <c r="E29" s="273">
        <f t="shared" si="11"/>
        <v>9576.6008474636092</v>
      </c>
      <c r="F29" s="273">
        <f t="shared" si="11"/>
        <v>2793.6947158675812</v>
      </c>
      <c r="G29" s="607"/>
      <c r="H29" s="607"/>
      <c r="I29" s="273">
        <f t="shared" si="11"/>
        <v>41180.314263544627</v>
      </c>
      <c r="J29" s="273">
        <f>SUM(J23:J28)</f>
        <v>35820.408875703033</v>
      </c>
      <c r="K29" s="607">
        <f t="shared" si="11"/>
        <v>5367.9215390974759</v>
      </c>
      <c r="L29" s="273">
        <f t="shared" si="11"/>
        <v>32.636569773253647</v>
      </c>
      <c r="M29" s="273">
        <f t="shared" si="11"/>
        <v>6000</v>
      </c>
      <c r="N29" s="273">
        <f t="shared" si="11"/>
        <v>12167.902448026998</v>
      </c>
      <c r="O29" s="273">
        <f>D29+E29+F29+I29+J29+L29+M29+N29</f>
        <v>137482.97203618108</v>
      </c>
      <c r="P29" s="273">
        <f t="shared" si="11"/>
        <v>39791.867518325591</v>
      </c>
      <c r="Q29" s="273">
        <f t="shared" si="11"/>
        <v>735</v>
      </c>
      <c r="R29" s="273">
        <f>B29+C29+D29+E29+F29+I29+J29+K29+L29+M29+N29+P29+Q29</f>
        <v>200277.24619713856</v>
      </c>
      <c r="S29" s="277">
        <f>'Recettes BP 2017'!H49</f>
        <v>200192.6575</v>
      </c>
      <c r="T29" s="278">
        <f>T24+T23</f>
        <v>0.80302035928151461</v>
      </c>
    </row>
    <row r="30" spans="1:24" hidden="1">
      <c r="A30" s="280" t="s">
        <v>299</v>
      </c>
      <c r="B30" s="281">
        <f>B29-B17</f>
        <v>0</v>
      </c>
      <c r="C30" s="281">
        <f t="shared" ref="C30:R30" si="12">C29-C17</f>
        <v>0</v>
      </c>
      <c r="D30" s="281">
        <f t="shared" si="12"/>
        <v>0</v>
      </c>
      <c r="E30" s="281">
        <f t="shared" si="12"/>
        <v>0</v>
      </c>
      <c r="F30" s="281"/>
      <c r="G30" s="281"/>
      <c r="H30" s="281"/>
      <c r="I30" s="281">
        <f t="shared" si="12"/>
        <v>0</v>
      </c>
      <c r="J30" s="281"/>
      <c r="K30" s="281">
        <f t="shared" si="12"/>
        <v>0</v>
      </c>
      <c r="L30" s="281">
        <f t="shared" si="12"/>
        <v>0</v>
      </c>
      <c r="M30" s="281">
        <f t="shared" si="12"/>
        <v>8.6292097600899069</v>
      </c>
      <c r="N30" s="281">
        <f t="shared" si="12"/>
        <v>0</v>
      </c>
      <c r="O30" s="281">
        <f>O29-O17</f>
        <v>8.6292097600817215</v>
      </c>
      <c r="P30" s="281"/>
      <c r="Q30" s="281"/>
      <c r="R30" s="281">
        <f t="shared" si="12"/>
        <v>10.006098760233726</v>
      </c>
    </row>
    <row r="31" spans="1:24" hidden="1">
      <c r="A31" s="218"/>
      <c r="K31" s="610"/>
    </row>
    <row r="32" spans="1:24" hidden="1">
      <c r="A32" s="218"/>
      <c r="K32" s="610"/>
    </row>
    <row r="33" spans="1:22" ht="27" hidden="1" customHeight="1" thickTop="1" thickBot="1">
      <c r="A33" s="219"/>
      <c r="K33" s="610"/>
    </row>
    <row r="34" spans="1:22" hidden="1">
      <c r="A34" s="218"/>
      <c r="K34" s="610"/>
    </row>
    <row r="35" spans="1:22" hidden="1">
      <c r="A35" s="218"/>
      <c r="K35" s="610"/>
    </row>
    <row r="36" spans="1:22" hidden="1">
      <c r="A36" s="218"/>
      <c r="K36" s="610"/>
    </row>
    <row r="37" spans="1:22" hidden="1">
      <c r="A37" s="218"/>
      <c r="K37" s="610"/>
      <c r="S37"/>
      <c r="T37"/>
      <c r="U37"/>
      <c r="V37"/>
    </row>
    <row r="38" spans="1:22" hidden="1">
      <c r="A38" s="218"/>
      <c r="K38" s="610"/>
      <c r="S38"/>
      <c r="T38"/>
      <c r="U38"/>
      <c r="V38"/>
    </row>
    <row r="39" spans="1:22" hidden="1">
      <c r="A39" s="218"/>
      <c r="K39" s="610"/>
      <c r="S39"/>
      <c r="T39"/>
      <c r="U39"/>
      <c r="V39"/>
    </row>
    <row r="40" spans="1:22" hidden="1">
      <c r="A40" s="218"/>
      <c r="K40" s="610"/>
      <c r="S40"/>
      <c r="T40"/>
      <c r="U40"/>
      <c r="V40"/>
    </row>
    <row r="41" spans="1:22" hidden="1">
      <c r="A41" s="218"/>
      <c r="K41" s="610"/>
      <c r="S41"/>
      <c r="T41"/>
      <c r="U41"/>
      <c r="V41"/>
    </row>
    <row r="42" spans="1:22" hidden="1">
      <c r="A42" s="218"/>
      <c r="K42" s="610"/>
      <c r="S42"/>
      <c r="T42"/>
      <c r="U42"/>
      <c r="V42"/>
    </row>
    <row r="43" spans="1:22" hidden="1">
      <c r="A43" s="218"/>
      <c r="K43" s="610"/>
      <c r="S43"/>
      <c r="T43"/>
      <c r="U43"/>
      <c r="V43"/>
    </row>
    <row r="44" spans="1:22" hidden="1">
      <c r="A44" s="218"/>
      <c r="K44" s="610"/>
      <c r="S44"/>
      <c r="T44"/>
      <c r="U44"/>
      <c r="V44"/>
    </row>
    <row r="45" spans="1:22" hidden="1">
      <c r="A45" s="218"/>
      <c r="K45" s="610"/>
      <c r="S45"/>
      <c r="T45"/>
      <c r="U45"/>
      <c r="V45"/>
    </row>
    <row r="46" spans="1:22" hidden="1">
      <c r="A46" s="218"/>
      <c r="K46" s="610"/>
      <c r="S46"/>
      <c r="T46"/>
      <c r="U46"/>
      <c r="V46"/>
    </row>
    <row r="47" spans="1:22" hidden="1">
      <c r="A47" s="218"/>
      <c r="K47" s="610"/>
      <c r="S47"/>
      <c r="T47"/>
      <c r="U47"/>
      <c r="V47"/>
    </row>
    <row r="48" spans="1:22" hidden="1">
      <c r="A48" s="218"/>
      <c r="K48" s="610"/>
      <c r="S48"/>
      <c r="T48"/>
      <c r="U48"/>
      <c r="V48"/>
    </row>
    <row r="49" spans="1:22" hidden="1">
      <c r="A49" s="218"/>
      <c r="K49" s="610"/>
      <c r="S49"/>
      <c r="T49"/>
      <c r="U49"/>
      <c r="V49"/>
    </row>
    <row r="50" spans="1:22" hidden="1">
      <c r="A50" s="218"/>
      <c r="K50" s="610"/>
      <c r="S50"/>
      <c r="T50"/>
      <c r="U50"/>
      <c r="V50"/>
    </row>
    <row r="51" spans="1:22" hidden="1">
      <c r="A51" s="218"/>
      <c r="K51" s="610"/>
      <c r="S51"/>
      <c r="T51"/>
      <c r="U51"/>
      <c r="V51"/>
    </row>
    <row r="52" spans="1:22" ht="27" hidden="1" customHeight="1" thickTop="1" thickBot="1">
      <c r="A52" s="218"/>
      <c r="K52" s="610"/>
      <c r="S52"/>
      <c r="T52"/>
      <c r="U52"/>
      <c r="V52"/>
    </row>
    <row r="53" spans="1:22" hidden="1">
      <c r="A53" s="218"/>
      <c r="K53" s="610"/>
      <c r="S53"/>
      <c r="T53"/>
      <c r="U53"/>
      <c r="V53"/>
    </row>
    <row r="54" spans="1:22" hidden="1">
      <c r="A54" s="218"/>
      <c r="K54" s="610"/>
      <c r="S54"/>
      <c r="T54"/>
      <c r="U54"/>
      <c r="V54"/>
    </row>
    <row r="55" spans="1:22" hidden="1">
      <c r="A55" s="218"/>
      <c r="K55" s="610"/>
      <c r="S55"/>
      <c r="T55"/>
      <c r="U55"/>
      <c r="V55"/>
    </row>
    <row r="56" spans="1:22" hidden="1">
      <c r="A56" s="218"/>
      <c r="K56" s="610"/>
      <c r="S56"/>
      <c r="T56"/>
      <c r="U56"/>
      <c r="V56"/>
    </row>
    <row r="57" spans="1:22" hidden="1">
      <c r="A57" s="218"/>
      <c r="K57" s="610"/>
      <c r="S57"/>
      <c r="T57"/>
      <c r="U57"/>
      <c r="V57"/>
    </row>
    <row r="58" spans="1:22" hidden="1">
      <c r="A58" s="218"/>
      <c r="K58" s="610"/>
      <c r="S58"/>
      <c r="T58"/>
      <c r="U58"/>
      <c r="V58"/>
    </row>
    <row r="59" spans="1:22" hidden="1">
      <c r="A59" s="218"/>
      <c r="K59" s="610"/>
      <c r="S59"/>
      <c r="T59"/>
      <c r="U59"/>
      <c r="V59"/>
    </row>
    <row r="60" spans="1:22" hidden="1">
      <c r="A60" s="218"/>
      <c r="K60" s="610"/>
      <c r="S60"/>
      <c r="T60"/>
      <c r="U60"/>
      <c r="V60"/>
    </row>
    <row r="61" spans="1:22" hidden="1">
      <c r="A61" s="218"/>
      <c r="K61" s="610"/>
      <c r="S61"/>
      <c r="T61"/>
      <c r="U61"/>
      <c r="V61"/>
    </row>
    <row r="62" spans="1:22" hidden="1">
      <c r="A62" s="218"/>
      <c r="K62" s="610"/>
      <c r="S62"/>
      <c r="T62"/>
      <c r="U62"/>
      <c r="V62"/>
    </row>
    <row r="63" spans="1:22" hidden="1">
      <c r="A63" s="218"/>
      <c r="K63" s="610"/>
      <c r="S63"/>
      <c r="T63"/>
      <c r="U63"/>
      <c r="V63"/>
    </row>
    <row r="64" spans="1:22" hidden="1">
      <c r="A64" s="218"/>
      <c r="K64" s="610"/>
      <c r="S64"/>
      <c r="T64"/>
      <c r="U64"/>
      <c r="V64"/>
    </row>
    <row r="65" spans="1:22" hidden="1">
      <c r="A65" s="218"/>
      <c r="K65" s="610"/>
      <c r="S65"/>
      <c r="T65"/>
      <c r="U65"/>
      <c r="V65"/>
    </row>
    <row r="66" spans="1:22" hidden="1">
      <c r="A66" s="218"/>
      <c r="K66" s="610"/>
      <c r="S66"/>
      <c r="T66"/>
      <c r="U66"/>
      <c r="V66"/>
    </row>
    <row r="67" spans="1:22" hidden="1">
      <c r="A67" s="218"/>
      <c r="K67" s="610"/>
      <c r="S67"/>
      <c r="T67"/>
      <c r="U67"/>
      <c r="V67"/>
    </row>
    <row r="68" spans="1:22" hidden="1">
      <c r="A68" s="218"/>
      <c r="K68" s="610"/>
      <c r="S68"/>
      <c r="T68"/>
      <c r="U68"/>
      <c r="V68"/>
    </row>
    <row r="69" spans="1:22" hidden="1">
      <c r="A69" s="218"/>
      <c r="K69" s="610"/>
      <c r="S69"/>
      <c r="T69"/>
      <c r="U69"/>
      <c r="V69"/>
    </row>
    <row r="70" spans="1:22" hidden="1">
      <c r="A70" s="218"/>
      <c r="K70" s="610"/>
      <c r="S70"/>
      <c r="T70"/>
      <c r="U70"/>
      <c r="V70"/>
    </row>
    <row r="71" spans="1:22" hidden="1">
      <c r="A71" s="218"/>
      <c r="K71" s="610"/>
      <c r="S71"/>
      <c r="T71"/>
      <c r="U71"/>
      <c r="V71"/>
    </row>
    <row r="72" spans="1:22" hidden="1">
      <c r="K72" s="610"/>
    </row>
    <row r="73" spans="1:22" hidden="1">
      <c r="K73" s="610"/>
    </row>
    <row r="74" spans="1:22" hidden="1">
      <c r="K74" s="610"/>
    </row>
    <row r="75" spans="1:22" ht="63.75" hidden="1" customHeight="1" thickTop="1" thickBot="1">
      <c r="C75" s="2006" t="s">
        <v>300</v>
      </c>
      <c r="D75" s="2007"/>
      <c r="E75" s="2007"/>
      <c r="F75" s="2007"/>
      <c r="G75" s="2007"/>
      <c r="H75" s="2008"/>
      <c r="K75" s="610"/>
    </row>
    <row r="76" spans="1:22" hidden="1">
      <c r="K76" s="610"/>
    </row>
    <row r="77" spans="1:22" hidden="1">
      <c r="K77" s="610"/>
    </row>
    <row r="78" spans="1:22" hidden="1">
      <c r="K78" s="610"/>
    </row>
    <row r="79" spans="1:22" hidden="1">
      <c r="D79" s="91"/>
      <c r="E79" s="91"/>
      <c r="F79" s="91"/>
      <c r="G79" s="91"/>
      <c r="H79" s="91"/>
      <c r="I79" s="91"/>
      <c r="J79" s="91"/>
      <c r="K79" s="611"/>
      <c r="L79" s="91"/>
      <c r="M79" s="91"/>
      <c r="N79" s="91"/>
      <c r="O79" s="91"/>
      <c r="P79" s="91"/>
      <c r="Q79" s="91"/>
    </row>
    <row r="80" spans="1:22">
      <c r="B80" s="279">
        <f>B29-B17</f>
        <v>0</v>
      </c>
      <c r="C80" s="279">
        <f t="shared" ref="C80:Q80" si="13">C29-C17</f>
        <v>0</v>
      </c>
      <c r="D80" s="279">
        <f t="shared" si="13"/>
        <v>0</v>
      </c>
      <c r="E80" s="279">
        <f t="shared" si="13"/>
        <v>0</v>
      </c>
      <c r="F80" s="279">
        <f t="shared" si="13"/>
        <v>0</v>
      </c>
      <c r="G80" s="279">
        <f t="shared" si="13"/>
        <v>0</v>
      </c>
      <c r="H80" s="279">
        <f t="shared" si="13"/>
        <v>0</v>
      </c>
      <c r="I80" s="279">
        <f t="shared" si="13"/>
        <v>0</v>
      </c>
      <c r="J80" s="279">
        <f>J29-J17</f>
        <v>0</v>
      </c>
      <c r="K80" s="612">
        <f t="shared" si="13"/>
        <v>0</v>
      </c>
      <c r="L80" s="279">
        <f t="shared" si="13"/>
        <v>0</v>
      </c>
      <c r="M80" s="279">
        <f t="shared" si="13"/>
        <v>8.6292097600899069</v>
      </c>
      <c r="N80" s="279">
        <f t="shared" si="13"/>
        <v>0</v>
      </c>
      <c r="O80" s="279">
        <f>O29-O17</f>
        <v>8.6292097600817215</v>
      </c>
      <c r="P80" s="279">
        <f t="shared" si="13"/>
        <v>0</v>
      </c>
      <c r="Q80" s="279">
        <f t="shared" si="13"/>
        <v>1.3768890001435921</v>
      </c>
      <c r="R80" s="279">
        <f>R29-R17</f>
        <v>10.006098760233726</v>
      </c>
    </row>
    <row r="81" spans="2:22">
      <c r="K81" s="610"/>
      <c r="R81" s="279"/>
    </row>
    <row r="82" spans="2:22">
      <c r="J82" s="279">
        <f>J26-J24</f>
        <v>992.77112429696899</v>
      </c>
      <c r="P82" s="279">
        <f>P25*2</f>
        <v>0</v>
      </c>
      <c r="R82" s="279"/>
      <c r="S82" s="588"/>
      <c r="U82" s="1">
        <v>1230.2797409776499</v>
      </c>
    </row>
    <row r="83" spans="2:22">
      <c r="B83" s="279">
        <v>10379.56387345853</v>
      </c>
      <c r="C83" s="279"/>
      <c r="D83" s="279"/>
      <c r="J83" s="279">
        <f>J29+J82</f>
        <v>36813.18</v>
      </c>
      <c r="P83" s="279">
        <f>P82-P29</f>
        <v>-39791.867518325591</v>
      </c>
      <c r="S83"/>
      <c r="T83"/>
      <c r="U83"/>
      <c r="V83"/>
    </row>
    <row r="84" spans="2:22">
      <c r="B84" s="279">
        <f>2948.38451719651+1417.21453458187</f>
        <v>4365.5990517783803</v>
      </c>
      <c r="D84" s="279"/>
      <c r="S84"/>
      <c r="T84"/>
      <c r="U84"/>
      <c r="V84"/>
    </row>
    <row r="85" spans="2:22">
      <c r="C85" s="279"/>
      <c r="D85" s="279"/>
      <c r="F85" s="279"/>
      <c r="Q85" s="279">
        <f>-R80</f>
        <v>-10.006098760233726</v>
      </c>
      <c r="S85"/>
      <c r="T85"/>
      <c r="U85"/>
      <c r="V85"/>
    </row>
    <row r="86" spans="2:22">
      <c r="F86" s="91"/>
      <c r="G86" s="91"/>
      <c r="H86" s="91"/>
      <c r="I86" s="91"/>
      <c r="J86" s="91"/>
      <c r="K86" s="91"/>
      <c r="L86" s="91"/>
      <c r="M86" s="91"/>
      <c r="N86" s="91"/>
    </row>
    <row r="87" spans="2:22">
      <c r="D87" s="279"/>
      <c r="S87"/>
      <c r="T87"/>
      <c r="U87"/>
      <c r="V87"/>
    </row>
  </sheetData>
  <mergeCells count="12">
    <mergeCell ref="A2:R2"/>
    <mergeCell ref="A5:R5"/>
    <mergeCell ref="T24:T28"/>
    <mergeCell ref="C75:H75"/>
    <mergeCell ref="R7:R9"/>
    <mergeCell ref="O8:O9"/>
    <mergeCell ref="B7:C9"/>
    <mergeCell ref="D8:F8"/>
    <mergeCell ref="I8:N8"/>
    <mergeCell ref="P7:P9"/>
    <mergeCell ref="Q7:Q9"/>
    <mergeCell ref="D7:O7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C25" sqref="C25"/>
    </sheetView>
  </sheetViews>
  <sheetFormatPr baseColWidth="10" defaultColWidth="11.42578125" defaultRowHeight="12.75"/>
  <cols>
    <col min="1" max="1" width="41.28515625" customWidth="1"/>
    <col min="2" max="2" width="12.42578125" bestFit="1" customWidth="1"/>
    <col min="3" max="3" width="41.28515625" style="541" bestFit="1" customWidth="1"/>
    <col min="4" max="4" width="12" bestFit="1" customWidth="1"/>
    <col min="5" max="5" width="37.42578125" customWidth="1"/>
    <col min="6" max="6" width="13.7109375" customWidth="1"/>
    <col min="257" max="257" width="38.28515625" customWidth="1"/>
    <col min="258" max="258" width="12" bestFit="1" customWidth="1"/>
    <col min="259" max="259" width="39.5703125" customWidth="1"/>
    <col min="260" max="260" width="12" bestFit="1" customWidth="1"/>
    <col min="261" max="261" width="37.42578125" customWidth="1"/>
    <col min="262" max="262" width="13.7109375" customWidth="1"/>
    <col min="513" max="513" width="38.28515625" customWidth="1"/>
    <col min="514" max="514" width="12" bestFit="1" customWidth="1"/>
    <col min="515" max="515" width="39.5703125" customWidth="1"/>
    <col min="516" max="516" width="12" bestFit="1" customWidth="1"/>
    <col min="517" max="517" width="37.42578125" customWidth="1"/>
    <col min="518" max="518" width="13.7109375" customWidth="1"/>
    <col min="769" max="769" width="38.28515625" customWidth="1"/>
    <col min="770" max="770" width="12" bestFit="1" customWidth="1"/>
    <col min="771" max="771" width="39.5703125" customWidth="1"/>
    <col min="772" max="772" width="12" bestFit="1" customWidth="1"/>
    <col min="773" max="773" width="37.42578125" customWidth="1"/>
    <col min="774" max="774" width="13.7109375" customWidth="1"/>
    <col min="1025" max="1025" width="38.28515625" customWidth="1"/>
    <col min="1026" max="1026" width="12" bestFit="1" customWidth="1"/>
    <col min="1027" max="1027" width="39.5703125" customWidth="1"/>
    <col min="1028" max="1028" width="12" bestFit="1" customWidth="1"/>
    <col min="1029" max="1029" width="37.42578125" customWidth="1"/>
    <col min="1030" max="1030" width="13.7109375" customWidth="1"/>
    <col min="1281" max="1281" width="38.28515625" customWidth="1"/>
    <col min="1282" max="1282" width="12" bestFit="1" customWidth="1"/>
    <col min="1283" max="1283" width="39.5703125" customWidth="1"/>
    <col min="1284" max="1284" width="12" bestFit="1" customWidth="1"/>
    <col min="1285" max="1285" width="37.42578125" customWidth="1"/>
    <col min="1286" max="1286" width="13.7109375" customWidth="1"/>
    <col min="1537" max="1537" width="38.28515625" customWidth="1"/>
    <col min="1538" max="1538" width="12" bestFit="1" customWidth="1"/>
    <col min="1539" max="1539" width="39.5703125" customWidth="1"/>
    <col min="1540" max="1540" width="12" bestFit="1" customWidth="1"/>
    <col min="1541" max="1541" width="37.42578125" customWidth="1"/>
    <col min="1542" max="1542" width="13.7109375" customWidth="1"/>
    <col min="1793" max="1793" width="38.28515625" customWidth="1"/>
    <col min="1794" max="1794" width="12" bestFit="1" customWidth="1"/>
    <col min="1795" max="1795" width="39.5703125" customWidth="1"/>
    <col min="1796" max="1796" width="12" bestFit="1" customWidth="1"/>
    <col min="1797" max="1797" width="37.42578125" customWidth="1"/>
    <col min="1798" max="1798" width="13.7109375" customWidth="1"/>
    <col min="2049" max="2049" width="38.28515625" customWidth="1"/>
    <col min="2050" max="2050" width="12" bestFit="1" customWidth="1"/>
    <col min="2051" max="2051" width="39.5703125" customWidth="1"/>
    <col min="2052" max="2052" width="12" bestFit="1" customWidth="1"/>
    <col min="2053" max="2053" width="37.42578125" customWidth="1"/>
    <col min="2054" max="2054" width="13.7109375" customWidth="1"/>
    <col min="2305" max="2305" width="38.28515625" customWidth="1"/>
    <col min="2306" max="2306" width="12" bestFit="1" customWidth="1"/>
    <col min="2307" max="2307" width="39.5703125" customWidth="1"/>
    <col min="2308" max="2308" width="12" bestFit="1" customWidth="1"/>
    <col min="2309" max="2309" width="37.42578125" customWidth="1"/>
    <col min="2310" max="2310" width="13.7109375" customWidth="1"/>
    <col min="2561" max="2561" width="38.28515625" customWidth="1"/>
    <col min="2562" max="2562" width="12" bestFit="1" customWidth="1"/>
    <col min="2563" max="2563" width="39.5703125" customWidth="1"/>
    <col min="2564" max="2564" width="12" bestFit="1" customWidth="1"/>
    <col min="2565" max="2565" width="37.42578125" customWidth="1"/>
    <col min="2566" max="2566" width="13.7109375" customWidth="1"/>
    <col min="2817" max="2817" width="38.28515625" customWidth="1"/>
    <col min="2818" max="2818" width="12" bestFit="1" customWidth="1"/>
    <col min="2819" max="2819" width="39.5703125" customWidth="1"/>
    <col min="2820" max="2820" width="12" bestFit="1" customWidth="1"/>
    <col min="2821" max="2821" width="37.42578125" customWidth="1"/>
    <col min="2822" max="2822" width="13.7109375" customWidth="1"/>
    <col min="3073" max="3073" width="38.28515625" customWidth="1"/>
    <col min="3074" max="3074" width="12" bestFit="1" customWidth="1"/>
    <col min="3075" max="3075" width="39.5703125" customWidth="1"/>
    <col min="3076" max="3076" width="12" bestFit="1" customWidth="1"/>
    <col min="3077" max="3077" width="37.42578125" customWidth="1"/>
    <col min="3078" max="3078" width="13.7109375" customWidth="1"/>
    <col min="3329" max="3329" width="38.28515625" customWidth="1"/>
    <col min="3330" max="3330" width="12" bestFit="1" customWidth="1"/>
    <col min="3331" max="3331" width="39.5703125" customWidth="1"/>
    <col min="3332" max="3332" width="12" bestFit="1" customWidth="1"/>
    <col min="3333" max="3333" width="37.42578125" customWidth="1"/>
    <col min="3334" max="3334" width="13.7109375" customWidth="1"/>
    <col min="3585" max="3585" width="38.28515625" customWidth="1"/>
    <col min="3586" max="3586" width="12" bestFit="1" customWidth="1"/>
    <col min="3587" max="3587" width="39.5703125" customWidth="1"/>
    <col min="3588" max="3588" width="12" bestFit="1" customWidth="1"/>
    <col min="3589" max="3589" width="37.42578125" customWidth="1"/>
    <col min="3590" max="3590" width="13.7109375" customWidth="1"/>
    <col min="3841" max="3841" width="38.28515625" customWidth="1"/>
    <col min="3842" max="3842" width="12" bestFit="1" customWidth="1"/>
    <col min="3843" max="3843" width="39.5703125" customWidth="1"/>
    <col min="3844" max="3844" width="12" bestFit="1" customWidth="1"/>
    <col min="3845" max="3845" width="37.42578125" customWidth="1"/>
    <col min="3846" max="3846" width="13.7109375" customWidth="1"/>
    <col min="4097" max="4097" width="38.28515625" customWidth="1"/>
    <col min="4098" max="4098" width="12" bestFit="1" customWidth="1"/>
    <col min="4099" max="4099" width="39.5703125" customWidth="1"/>
    <col min="4100" max="4100" width="12" bestFit="1" customWidth="1"/>
    <col min="4101" max="4101" width="37.42578125" customWidth="1"/>
    <col min="4102" max="4102" width="13.7109375" customWidth="1"/>
    <col min="4353" max="4353" width="38.28515625" customWidth="1"/>
    <col min="4354" max="4354" width="12" bestFit="1" customWidth="1"/>
    <col min="4355" max="4355" width="39.5703125" customWidth="1"/>
    <col min="4356" max="4356" width="12" bestFit="1" customWidth="1"/>
    <col min="4357" max="4357" width="37.42578125" customWidth="1"/>
    <col min="4358" max="4358" width="13.7109375" customWidth="1"/>
    <col min="4609" max="4609" width="38.28515625" customWidth="1"/>
    <col min="4610" max="4610" width="12" bestFit="1" customWidth="1"/>
    <col min="4611" max="4611" width="39.5703125" customWidth="1"/>
    <col min="4612" max="4612" width="12" bestFit="1" customWidth="1"/>
    <col min="4613" max="4613" width="37.42578125" customWidth="1"/>
    <col min="4614" max="4614" width="13.7109375" customWidth="1"/>
    <col min="4865" max="4865" width="38.28515625" customWidth="1"/>
    <col min="4866" max="4866" width="12" bestFit="1" customWidth="1"/>
    <col min="4867" max="4867" width="39.5703125" customWidth="1"/>
    <col min="4868" max="4868" width="12" bestFit="1" customWidth="1"/>
    <col min="4869" max="4869" width="37.42578125" customWidth="1"/>
    <col min="4870" max="4870" width="13.7109375" customWidth="1"/>
    <col min="5121" max="5121" width="38.28515625" customWidth="1"/>
    <col min="5122" max="5122" width="12" bestFit="1" customWidth="1"/>
    <col min="5123" max="5123" width="39.5703125" customWidth="1"/>
    <col min="5124" max="5124" width="12" bestFit="1" customWidth="1"/>
    <col min="5125" max="5125" width="37.42578125" customWidth="1"/>
    <col min="5126" max="5126" width="13.7109375" customWidth="1"/>
    <col min="5377" max="5377" width="38.28515625" customWidth="1"/>
    <col min="5378" max="5378" width="12" bestFit="1" customWidth="1"/>
    <col min="5379" max="5379" width="39.5703125" customWidth="1"/>
    <col min="5380" max="5380" width="12" bestFit="1" customWidth="1"/>
    <col min="5381" max="5381" width="37.42578125" customWidth="1"/>
    <col min="5382" max="5382" width="13.7109375" customWidth="1"/>
    <col min="5633" max="5633" width="38.28515625" customWidth="1"/>
    <col min="5634" max="5634" width="12" bestFit="1" customWidth="1"/>
    <col min="5635" max="5635" width="39.5703125" customWidth="1"/>
    <col min="5636" max="5636" width="12" bestFit="1" customWidth="1"/>
    <col min="5637" max="5637" width="37.42578125" customWidth="1"/>
    <col min="5638" max="5638" width="13.7109375" customWidth="1"/>
    <col min="5889" max="5889" width="38.28515625" customWidth="1"/>
    <col min="5890" max="5890" width="12" bestFit="1" customWidth="1"/>
    <col min="5891" max="5891" width="39.5703125" customWidth="1"/>
    <col min="5892" max="5892" width="12" bestFit="1" customWidth="1"/>
    <col min="5893" max="5893" width="37.42578125" customWidth="1"/>
    <col min="5894" max="5894" width="13.7109375" customWidth="1"/>
    <col min="6145" max="6145" width="38.28515625" customWidth="1"/>
    <col min="6146" max="6146" width="12" bestFit="1" customWidth="1"/>
    <col min="6147" max="6147" width="39.5703125" customWidth="1"/>
    <col min="6148" max="6148" width="12" bestFit="1" customWidth="1"/>
    <col min="6149" max="6149" width="37.42578125" customWidth="1"/>
    <col min="6150" max="6150" width="13.7109375" customWidth="1"/>
    <col min="6401" max="6401" width="38.28515625" customWidth="1"/>
    <col min="6402" max="6402" width="12" bestFit="1" customWidth="1"/>
    <col min="6403" max="6403" width="39.5703125" customWidth="1"/>
    <col min="6404" max="6404" width="12" bestFit="1" customWidth="1"/>
    <col min="6405" max="6405" width="37.42578125" customWidth="1"/>
    <col min="6406" max="6406" width="13.7109375" customWidth="1"/>
    <col min="6657" max="6657" width="38.28515625" customWidth="1"/>
    <col min="6658" max="6658" width="12" bestFit="1" customWidth="1"/>
    <col min="6659" max="6659" width="39.5703125" customWidth="1"/>
    <col min="6660" max="6660" width="12" bestFit="1" customWidth="1"/>
    <col min="6661" max="6661" width="37.42578125" customWidth="1"/>
    <col min="6662" max="6662" width="13.7109375" customWidth="1"/>
    <col min="6913" max="6913" width="38.28515625" customWidth="1"/>
    <col min="6914" max="6914" width="12" bestFit="1" customWidth="1"/>
    <col min="6915" max="6915" width="39.5703125" customWidth="1"/>
    <col min="6916" max="6916" width="12" bestFit="1" customWidth="1"/>
    <col min="6917" max="6917" width="37.42578125" customWidth="1"/>
    <col min="6918" max="6918" width="13.7109375" customWidth="1"/>
    <col min="7169" max="7169" width="38.28515625" customWidth="1"/>
    <col min="7170" max="7170" width="12" bestFit="1" customWidth="1"/>
    <col min="7171" max="7171" width="39.5703125" customWidth="1"/>
    <col min="7172" max="7172" width="12" bestFit="1" customWidth="1"/>
    <col min="7173" max="7173" width="37.42578125" customWidth="1"/>
    <col min="7174" max="7174" width="13.7109375" customWidth="1"/>
    <col min="7425" max="7425" width="38.28515625" customWidth="1"/>
    <col min="7426" max="7426" width="12" bestFit="1" customWidth="1"/>
    <col min="7427" max="7427" width="39.5703125" customWidth="1"/>
    <col min="7428" max="7428" width="12" bestFit="1" customWidth="1"/>
    <col min="7429" max="7429" width="37.42578125" customWidth="1"/>
    <col min="7430" max="7430" width="13.7109375" customWidth="1"/>
    <col min="7681" max="7681" width="38.28515625" customWidth="1"/>
    <col min="7682" max="7682" width="12" bestFit="1" customWidth="1"/>
    <col min="7683" max="7683" width="39.5703125" customWidth="1"/>
    <col min="7684" max="7684" width="12" bestFit="1" customWidth="1"/>
    <col min="7685" max="7685" width="37.42578125" customWidth="1"/>
    <col min="7686" max="7686" width="13.7109375" customWidth="1"/>
    <col min="7937" max="7937" width="38.28515625" customWidth="1"/>
    <col min="7938" max="7938" width="12" bestFit="1" customWidth="1"/>
    <col min="7939" max="7939" width="39.5703125" customWidth="1"/>
    <col min="7940" max="7940" width="12" bestFit="1" customWidth="1"/>
    <col min="7941" max="7941" width="37.42578125" customWidth="1"/>
    <col min="7942" max="7942" width="13.7109375" customWidth="1"/>
    <col min="8193" max="8193" width="38.28515625" customWidth="1"/>
    <col min="8194" max="8194" width="12" bestFit="1" customWidth="1"/>
    <col min="8195" max="8195" width="39.5703125" customWidth="1"/>
    <col min="8196" max="8196" width="12" bestFit="1" customWidth="1"/>
    <col min="8197" max="8197" width="37.42578125" customWidth="1"/>
    <col min="8198" max="8198" width="13.7109375" customWidth="1"/>
    <col min="8449" max="8449" width="38.28515625" customWidth="1"/>
    <col min="8450" max="8450" width="12" bestFit="1" customWidth="1"/>
    <col min="8451" max="8451" width="39.5703125" customWidth="1"/>
    <col min="8452" max="8452" width="12" bestFit="1" customWidth="1"/>
    <col min="8453" max="8453" width="37.42578125" customWidth="1"/>
    <col min="8454" max="8454" width="13.7109375" customWidth="1"/>
    <col min="8705" max="8705" width="38.28515625" customWidth="1"/>
    <col min="8706" max="8706" width="12" bestFit="1" customWidth="1"/>
    <col min="8707" max="8707" width="39.5703125" customWidth="1"/>
    <col min="8708" max="8708" width="12" bestFit="1" customWidth="1"/>
    <col min="8709" max="8709" width="37.42578125" customWidth="1"/>
    <col min="8710" max="8710" width="13.7109375" customWidth="1"/>
    <col min="8961" max="8961" width="38.28515625" customWidth="1"/>
    <col min="8962" max="8962" width="12" bestFit="1" customWidth="1"/>
    <col min="8963" max="8963" width="39.5703125" customWidth="1"/>
    <col min="8964" max="8964" width="12" bestFit="1" customWidth="1"/>
    <col min="8965" max="8965" width="37.42578125" customWidth="1"/>
    <col min="8966" max="8966" width="13.7109375" customWidth="1"/>
    <col min="9217" max="9217" width="38.28515625" customWidth="1"/>
    <col min="9218" max="9218" width="12" bestFit="1" customWidth="1"/>
    <col min="9219" max="9219" width="39.5703125" customWidth="1"/>
    <col min="9220" max="9220" width="12" bestFit="1" customWidth="1"/>
    <col min="9221" max="9221" width="37.42578125" customWidth="1"/>
    <col min="9222" max="9222" width="13.7109375" customWidth="1"/>
    <col min="9473" max="9473" width="38.28515625" customWidth="1"/>
    <col min="9474" max="9474" width="12" bestFit="1" customWidth="1"/>
    <col min="9475" max="9475" width="39.5703125" customWidth="1"/>
    <col min="9476" max="9476" width="12" bestFit="1" customWidth="1"/>
    <col min="9477" max="9477" width="37.42578125" customWidth="1"/>
    <col min="9478" max="9478" width="13.7109375" customWidth="1"/>
    <col min="9729" max="9729" width="38.28515625" customWidth="1"/>
    <col min="9730" max="9730" width="12" bestFit="1" customWidth="1"/>
    <col min="9731" max="9731" width="39.5703125" customWidth="1"/>
    <col min="9732" max="9732" width="12" bestFit="1" customWidth="1"/>
    <col min="9733" max="9733" width="37.42578125" customWidth="1"/>
    <col min="9734" max="9734" width="13.7109375" customWidth="1"/>
    <col min="9985" max="9985" width="38.28515625" customWidth="1"/>
    <col min="9986" max="9986" width="12" bestFit="1" customWidth="1"/>
    <col min="9987" max="9987" width="39.5703125" customWidth="1"/>
    <col min="9988" max="9988" width="12" bestFit="1" customWidth="1"/>
    <col min="9989" max="9989" width="37.42578125" customWidth="1"/>
    <col min="9990" max="9990" width="13.7109375" customWidth="1"/>
    <col min="10241" max="10241" width="38.28515625" customWidth="1"/>
    <col min="10242" max="10242" width="12" bestFit="1" customWidth="1"/>
    <col min="10243" max="10243" width="39.5703125" customWidth="1"/>
    <col min="10244" max="10244" width="12" bestFit="1" customWidth="1"/>
    <col min="10245" max="10245" width="37.42578125" customWidth="1"/>
    <col min="10246" max="10246" width="13.7109375" customWidth="1"/>
    <col min="10497" max="10497" width="38.28515625" customWidth="1"/>
    <col min="10498" max="10498" width="12" bestFit="1" customWidth="1"/>
    <col min="10499" max="10499" width="39.5703125" customWidth="1"/>
    <col min="10500" max="10500" width="12" bestFit="1" customWidth="1"/>
    <col min="10501" max="10501" width="37.42578125" customWidth="1"/>
    <col min="10502" max="10502" width="13.7109375" customWidth="1"/>
    <col min="10753" max="10753" width="38.28515625" customWidth="1"/>
    <col min="10754" max="10754" width="12" bestFit="1" customWidth="1"/>
    <col min="10755" max="10755" width="39.5703125" customWidth="1"/>
    <col min="10756" max="10756" width="12" bestFit="1" customWidth="1"/>
    <col min="10757" max="10757" width="37.42578125" customWidth="1"/>
    <col min="10758" max="10758" width="13.7109375" customWidth="1"/>
    <col min="11009" max="11009" width="38.28515625" customWidth="1"/>
    <col min="11010" max="11010" width="12" bestFit="1" customWidth="1"/>
    <col min="11011" max="11011" width="39.5703125" customWidth="1"/>
    <col min="11012" max="11012" width="12" bestFit="1" customWidth="1"/>
    <col min="11013" max="11013" width="37.42578125" customWidth="1"/>
    <col min="11014" max="11014" width="13.7109375" customWidth="1"/>
    <col min="11265" max="11265" width="38.28515625" customWidth="1"/>
    <col min="11266" max="11266" width="12" bestFit="1" customWidth="1"/>
    <col min="11267" max="11267" width="39.5703125" customWidth="1"/>
    <col min="11268" max="11268" width="12" bestFit="1" customWidth="1"/>
    <col min="11269" max="11269" width="37.42578125" customWidth="1"/>
    <col min="11270" max="11270" width="13.7109375" customWidth="1"/>
    <col min="11521" max="11521" width="38.28515625" customWidth="1"/>
    <col min="11522" max="11522" width="12" bestFit="1" customWidth="1"/>
    <col min="11523" max="11523" width="39.5703125" customWidth="1"/>
    <col min="11524" max="11524" width="12" bestFit="1" customWidth="1"/>
    <col min="11525" max="11525" width="37.42578125" customWidth="1"/>
    <col min="11526" max="11526" width="13.7109375" customWidth="1"/>
    <col min="11777" max="11777" width="38.28515625" customWidth="1"/>
    <col min="11778" max="11778" width="12" bestFit="1" customWidth="1"/>
    <col min="11779" max="11779" width="39.5703125" customWidth="1"/>
    <col min="11780" max="11780" width="12" bestFit="1" customWidth="1"/>
    <col min="11781" max="11781" width="37.42578125" customWidth="1"/>
    <col min="11782" max="11782" width="13.7109375" customWidth="1"/>
    <col min="12033" max="12033" width="38.28515625" customWidth="1"/>
    <col min="12034" max="12034" width="12" bestFit="1" customWidth="1"/>
    <col min="12035" max="12035" width="39.5703125" customWidth="1"/>
    <col min="12036" max="12036" width="12" bestFit="1" customWidth="1"/>
    <col min="12037" max="12037" width="37.42578125" customWidth="1"/>
    <col min="12038" max="12038" width="13.7109375" customWidth="1"/>
    <col min="12289" max="12289" width="38.28515625" customWidth="1"/>
    <col min="12290" max="12290" width="12" bestFit="1" customWidth="1"/>
    <col min="12291" max="12291" width="39.5703125" customWidth="1"/>
    <col min="12292" max="12292" width="12" bestFit="1" customWidth="1"/>
    <col min="12293" max="12293" width="37.42578125" customWidth="1"/>
    <col min="12294" max="12294" width="13.7109375" customWidth="1"/>
    <col min="12545" max="12545" width="38.28515625" customWidth="1"/>
    <col min="12546" max="12546" width="12" bestFit="1" customWidth="1"/>
    <col min="12547" max="12547" width="39.5703125" customWidth="1"/>
    <col min="12548" max="12548" width="12" bestFit="1" customWidth="1"/>
    <col min="12549" max="12549" width="37.42578125" customWidth="1"/>
    <col min="12550" max="12550" width="13.7109375" customWidth="1"/>
    <col min="12801" max="12801" width="38.28515625" customWidth="1"/>
    <col min="12802" max="12802" width="12" bestFit="1" customWidth="1"/>
    <col min="12803" max="12803" width="39.5703125" customWidth="1"/>
    <col min="12804" max="12804" width="12" bestFit="1" customWidth="1"/>
    <col min="12805" max="12805" width="37.42578125" customWidth="1"/>
    <col min="12806" max="12806" width="13.7109375" customWidth="1"/>
    <col min="13057" max="13057" width="38.28515625" customWidth="1"/>
    <col min="13058" max="13058" width="12" bestFit="1" customWidth="1"/>
    <col min="13059" max="13059" width="39.5703125" customWidth="1"/>
    <col min="13060" max="13060" width="12" bestFit="1" customWidth="1"/>
    <col min="13061" max="13061" width="37.42578125" customWidth="1"/>
    <col min="13062" max="13062" width="13.7109375" customWidth="1"/>
    <col min="13313" max="13313" width="38.28515625" customWidth="1"/>
    <col min="13314" max="13314" width="12" bestFit="1" customWidth="1"/>
    <col min="13315" max="13315" width="39.5703125" customWidth="1"/>
    <col min="13316" max="13316" width="12" bestFit="1" customWidth="1"/>
    <col min="13317" max="13317" width="37.42578125" customWidth="1"/>
    <col min="13318" max="13318" width="13.7109375" customWidth="1"/>
    <col min="13569" max="13569" width="38.28515625" customWidth="1"/>
    <col min="13570" max="13570" width="12" bestFit="1" customWidth="1"/>
    <col min="13571" max="13571" width="39.5703125" customWidth="1"/>
    <col min="13572" max="13572" width="12" bestFit="1" customWidth="1"/>
    <col min="13573" max="13573" width="37.42578125" customWidth="1"/>
    <col min="13574" max="13574" width="13.7109375" customWidth="1"/>
    <col min="13825" max="13825" width="38.28515625" customWidth="1"/>
    <col min="13826" max="13826" width="12" bestFit="1" customWidth="1"/>
    <col min="13827" max="13827" width="39.5703125" customWidth="1"/>
    <col min="13828" max="13828" width="12" bestFit="1" customWidth="1"/>
    <col min="13829" max="13829" width="37.42578125" customWidth="1"/>
    <col min="13830" max="13830" width="13.7109375" customWidth="1"/>
    <col min="14081" max="14081" width="38.28515625" customWidth="1"/>
    <col min="14082" max="14082" width="12" bestFit="1" customWidth="1"/>
    <col min="14083" max="14083" width="39.5703125" customWidth="1"/>
    <col min="14084" max="14084" width="12" bestFit="1" customWidth="1"/>
    <col min="14085" max="14085" width="37.42578125" customWidth="1"/>
    <col min="14086" max="14086" width="13.7109375" customWidth="1"/>
    <col min="14337" max="14337" width="38.28515625" customWidth="1"/>
    <col min="14338" max="14338" width="12" bestFit="1" customWidth="1"/>
    <col min="14339" max="14339" width="39.5703125" customWidth="1"/>
    <col min="14340" max="14340" width="12" bestFit="1" customWidth="1"/>
    <col min="14341" max="14341" width="37.42578125" customWidth="1"/>
    <col min="14342" max="14342" width="13.7109375" customWidth="1"/>
    <col min="14593" max="14593" width="38.28515625" customWidth="1"/>
    <col min="14594" max="14594" width="12" bestFit="1" customWidth="1"/>
    <col min="14595" max="14595" width="39.5703125" customWidth="1"/>
    <col min="14596" max="14596" width="12" bestFit="1" customWidth="1"/>
    <col min="14597" max="14597" width="37.42578125" customWidth="1"/>
    <col min="14598" max="14598" width="13.7109375" customWidth="1"/>
    <col min="14849" max="14849" width="38.28515625" customWidth="1"/>
    <col min="14850" max="14850" width="12" bestFit="1" customWidth="1"/>
    <col min="14851" max="14851" width="39.5703125" customWidth="1"/>
    <col min="14852" max="14852" width="12" bestFit="1" customWidth="1"/>
    <col min="14853" max="14853" width="37.42578125" customWidth="1"/>
    <col min="14854" max="14854" width="13.7109375" customWidth="1"/>
    <col min="15105" max="15105" width="38.28515625" customWidth="1"/>
    <col min="15106" max="15106" width="12" bestFit="1" customWidth="1"/>
    <col min="15107" max="15107" width="39.5703125" customWidth="1"/>
    <col min="15108" max="15108" width="12" bestFit="1" customWidth="1"/>
    <col min="15109" max="15109" width="37.42578125" customWidth="1"/>
    <col min="15110" max="15110" width="13.7109375" customWidth="1"/>
    <col min="15361" max="15361" width="38.28515625" customWidth="1"/>
    <col min="15362" max="15362" width="12" bestFit="1" customWidth="1"/>
    <col min="15363" max="15363" width="39.5703125" customWidth="1"/>
    <col min="15364" max="15364" width="12" bestFit="1" customWidth="1"/>
    <col min="15365" max="15365" width="37.42578125" customWidth="1"/>
    <col min="15366" max="15366" width="13.7109375" customWidth="1"/>
    <col min="15617" max="15617" width="38.28515625" customWidth="1"/>
    <col min="15618" max="15618" width="12" bestFit="1" customWidth="1"/>
    <col min="15619" max="15619" width="39.5703125" customWidth="1"/>
    <col min="15620" max="15620" width="12" bestFit="1" customWidth="1"/>
    <col min="15621" max="15621" width="37.42578125" customWidth="1"/>
    <col min="15622" max="15622" width="13.7109375" customWidth="1"/>
    <col min="15873" max="15873" width="38.28515625" customWidth="1"/>
    <col min="15874" max="15874" width="12" bestFit="1" customWidth="1"/>
    <col min="15875" max="15875" width="39.5703125" customWidth="1"/>
    <col min="15876" max="15876" width="12" bestFit="1" customWidth="1"/>
    <col min="15877" max="15877" width="37.42578125" customWidth="1"/>
    <col min="15878" max="15878" width="13.7109375" customWidth="1"/>
    <col min="16129" max="16129" width="38.28515625" customWidth="1"/>
    <col min="16130" max="16130" width="12" bestFit="1" customWidth="1"/>
    <col min="16131" max="16131" width="39.5703125" customWidth="1"/>
    <col min="16132" max="16132" width="12" bestFit="1" customWidth="1"/>
    <col min="16133" max="16133" width="37.42578125" customWidth="1"/>
    <col min="16134" max="16134" width="13.7109375" customWidth="1"/>
  </cols>
  <sheetData>
    <row r="1" spans="1:4" s="433" customFormat="1" ht="15.75" customHeight="1"/>
    <row r="2" spans="1:4" s="433" customFormat="1" ht="22.5" customHeight="1">
      <c r="A2" s="526"/>
      <c r="B2" s="527"/>
      <c r="C2" s="527"/>
      <c r="D2" s="527"/>
    </row>
    <row r="3" spans="1:4" s="433" customFormat="1" ht="22.5" customHeight="1">
      <c r="A3" s="2020" t="s">
        <v>301</v>
      </c>
      <c r="B3" s="2020"/>
      <c r="C3" s="2020"/>
      <c r="D3" s="2020"/>
    </row>
    <row r="4" spans="1:4" s="433" customFormat="1" ht="22.5" customHeight="1">
      <c r="A4" s="548"/>
      <c r="B4" s="548"/>
      <c r="C4" s="548"/>
      <c r="D4" s="548"/>
    </row>
    <row r="5" spans="1:4" s="433" customFormat="1" ht="22.5" customHeight="1" thickBot="1">
      <c r="B5" s="528"/>
      <c r="C5" s="206"/>
      <c r="D5" s="206"/>
    </row>
    <row r="6" spans="1:4" s="533" customFormat="1" ht="28.5" customHeight="1" thickBot="1">
      <c r="A6" s="529" t="s">
        <v>302</v>
      </c>
      <c r="B6" s="560" t="s">
        <v>119</v>
      </c>
      <c r="C6" s="531" t="s">
        <v>303</v>
      </c>
      <c r="D6" s="561" t="s">
        <v>119</v>
      </c>
    </row>
    <row r="7" spans="1:4" ht="18" customHeight="1">
      <c r="A7" s="553" t="s">
        <v>304</v>
      </c>
      <c r="B7" s="551">
        <v>292</v>
      </c>
      <c r="C7" s="555" t="s">
        <v>305</v>
      </c>
      <c r="D7" s="535"/>
    </row>
    <row r="8" spans="1:4">
      <c r="A8" s="536"/>
      <c r="B8" s="534"/>
      <c r="C8" s="549" t="s">
        <v>306</v>
      </c>
      <c r="D8" s="535"/>
    </row>
    <row r="9" spans="1:4" ht="15" customHeight="1">
      <c r="A9" s="554" t="s">
        <v>307</v>
      </c>
      <c r="B9" s="552">
        <v>3754.5</v>
      </c>
      <c r="C9" s="536" t="s">
        <v>308</v>
      </c>
      <c r="D9" s="556">
        <v>12000</v>
      </c>
    </row>
    <row r="10" spans="1:4" ht="13.5" customHeight="1">
      <c r="A10" s="536"/>
      <c r="B10" s="534"/>
      <c r="D10" s="556"/>
    </row>
    <row r="11" spans="1:4">
      <c r="A11" s="554" t="s">
        <v>309</v>
      </c>
      <c r="B11" s="552">
        <v>6676</v>
      </c>
      <c r="C11" s="549" t="s">
        <v>310</v>
      </c>
      <c r="D11" s="535"/>
    </row>
    <row r="12" spans="1:4">
      <c r="A12" s="536"/>
      <c r="B12" s="534"/>
      <c r="C12" s="536" t="s">
        <v>311</v>
      </c>
      <c r="D12" s="556">
        <v>20000</v>
      </c>
    </row>
    <row r="13" spans="1:4">
      <c r="A13" s="554" t="s">
        <v>312</v>
      </c>
      <c r="B13" s="552">
        <v>956</v>
      </c>
      <c r="D13" s="535"/>
    </row>
    <row r="14" spans="1:4">
      <c r="A14" s="536"/>
      <c r="B14" s="534"/>
      <c r="C14" s="549" t="s">
        <v>313</v>
      </c>
      <c r="D14" s="556"/>
    </row>
    <row r="15" spans="1:4">
      <c r="A15" s="554" t="s">
        <v>314</v>
      </c>
      <c r="B15" s="552">
        <v>22318</v>
      </c>
      <c r="C15" s="536" t="s">
        <v>315</v>
      </c>
      <c r="D15" s="556">
        <v>2328</v>
      </c>
    </row>
    <row r="16" spans="1:4">
      <c r="A16" s="536"/>
      <c r="B16" s="534"/>
      <c r="C16" s="554"/>
      <c r="D16" s="535"/>
    </row>
    <row r="17" spans="1:4">
      <c r="A17" s="554" t="s">
        <v>316</v>
      </c>
      <c r="B17" s="552">
        <v>331.5</v>
      </c>
      <c r="C17" s="539"/>
      <c r="D17" s="536"/>
    </row>
    <row r="18" spans="1:4">
      <c r="A18" s="554"/>
      <c r="B18" s="552"/>
      <c r="C18" s="554"/>
      <c r="D18" s="536"/>
    </row>
    <row r="19" spans="1:4" ht="13.5" thickBot="1">
      <c r="A19" s="545"/>
      <c r="B19" s="534"/>
      <c r="C19" s="538"/>
      <c r="D19" s="535"/>
    </row>
    <row r="20" spans="1:4" ht="13.5" thickBot="1">
      <c r="A20" s="559" t="s">
        <v>317</v>
      </c>
      <c r="B20" s="558">
        <v>34328</v>
      </c>
      <c r="C20" s="559" t="s">
        <v>318</v>
      </c>
      <c r="D20" s="557">
        <v>34328</v>
      </c>
    </row>
    <row r="26" spans="1:4" s="433" customFormat="1" ht="15.75" customHeight="1"/>
    <row r="27" spans="1:4" s="433" customFormat="1" ht="22.5" customHeight="1">
      <c r="A27" s="526"/>
      <c r="B27" s="527"/>
      <c r="C27" s="527"/>
      <c r="D27" s="527"/>
    </row>
    <row r="28" spans="1:4" s="433" customFormat="1" ht="22.5" customHeight="1">
      <c r="A28" s="2020" t="s">
        <v>301</v>
      </c>
      <c r="B28" s="2020"/>
      <c r="C28" s="2020"/>
      <c r="D28" s="2020"/>
    </row>
    <row r="29" spans="1:4" s="433" customFormat="1" ht="22.5" customHeight="1">
      <c r="A29" s="548"/>
      <c r="B29" s="548"/>
      <c r="C29" s="548"/>
      <c r="D29" s="548"/>
    </row>
    <row r="30" spans="1:4" s="433" customFormat="1" ht="22.5" customHeight="1" thickBot="1">
      <c r="B30" s="528"/>
      <c r="C30" s="206"/>
      <c r="D30" s="206"/>
    </row>
    <row r="31" spans="1:4" s="533" customFormat="1" ht="28.5" customHeight="1" thickBot="1">
      <c r="A31" s="529" t="s">
        <v>302</v>
      </c>
      <c r="B31" s="530" t="s">
        <v>119</v>
      </c>
      <c r="C31" s="531" t="s">
        <v>303</v>
      </c>
      <c r="D31" s="532" t="s">
        <v>119</v>
      </c>
    </row>
    <row r="32" spans="1:4" ht="18" customHeight="1">
      <c r="A32" s="553" t="s">
        <v>304</v>
      </c>
      <c r="B32" s="551">
        <f>SUM(B33:B35)</f>
        <v>292.03594354942533</v>
      </c>
      <c r="C32" s="555" t="s">
        <v>305</v>
      </c>
      <c r="D32" s="535"/>
    </row>
    <row r="33" spans="1:8">
      <c r="A33" s="536" t="s">
        <v>319</v>
      </c>
      <c r="B33" s="534">
        <v>42.268360250574716</v>
      </c>
      <c r="C33" s="537"/>
      <c r="D33" s="535"/>
    </row>
    <row r="34" spans="1:8">
      <c r="A34" s="536" t="s">
        <v>320</v>
      </c>
      <c r="B34" s="534">
        <v>153.70312818390806</v>
      </c>
      <c r="C34" s="549"/>
      <c r="D34" s="535"/>
    </row>
    <row r="35" spans="1:8">
      <c r="A35" s="536" t="s">
        <v>321</v>
      </c>
      <c r="B35" s="534">
        <v>96.064455114942533</v>
      </c>
      <c r="C35" s="549" t="s">
        <v>306</v>
      </c>
      <c r="D35" s="535"/>
    </row>
    <row r="36" spans="1:8">
      <c r="A36" s="536"/>
      <c r="B36" s="534"/>
      <c r="C36" s="536" t="s">
        <v>308</v>
      </c>
      <c r="D36" s="556">
        <v>12000</v>
      </c>
    </row>
    <row r="37" spans="1:8" ht="15" customHeight="1">
      <c r="A37" s="554" t="s">
        <v>307</v>
      </c>
      <c r="B37" s="552">
        <v>3754.4726191302761</v>
      </c>
      <c r="D37" s="556"/>
    </row>
    <row r="38" spans="1:8">
      <c r="A38" s="536" t="s">
        <v>322</v>
      </c>
      <c r="B38" s="534">
        <v>3121.6768403971264</v>
      </c>
      <c r="C38" s="549" t="s">
        <v>310</v>
      </c>
      <c r="D38" s="535"/>
    </row>
    <row r="39" spans="1:8">
      <c r="A39" s="536" t="s">
        <v>64</v>
      </c>
      <c r="B39" s="534">
        <v>136.60365517344826</v>
      </c>
      <c r="C39" s="536" t="s">
        <v>311</v>
      </c>
      <c r="D39" s="556">
        <v>20000</v>
      </c>
    </row>
    <row r="40" spans="1:8" ht="15" customHeight="1">
      <c r="A40" s="536" t="s">
        <v>67</v>
      </c>
      <c r="B40" s="534">
        <v>135.56615905820689</v>
      </c>
      <c r="D40" s="535"/>
      <c r="H40" s="205"/>
    </row>
    <row r="41" spans="1:8" ht="14.25" customHeight="1">
      <c r="A41" s="536" t="s">
        <v>68</v>
      </c>
      <c r="B41" s="534">
        <v>83.576075950000003</v>
      </c>
      <c r="C41" s="549" t="s">
        <v>313</v>
      </c>
      <c r="D41" s="556"/>
      <c r="H41" s="205"/>
    </row>
    <row r="42" spans="1:8">
      <c r="A42" s="536" t="s">
        <v>323</v>
      </c>
      <c r="B42" s="534">
        <v>8.0694142296551732</v>
      </c>
      <c r="C42" s="536" t="s">
        <v>315</v>
      </c>
      <c r="D42" s="556">
        <v>2327.7399999999998</v>
      </c>
      <c r="H42" s="205"/>
    </row>
    <row r="43" spans="1:8">
      <c r="A43" s="536" t="s">
        <v>324</v>
      </c>
      <c r="B43" s="534">
        <v>153.70312818390806</v>
      </c>
      <c r="C43" s="550"/>
      <c r="D43" s="535"/>
      <c r="H43" s="205"/>
    </row>
    <row r="44" spans="1:8">
      <c r="A44" s="536" t="s">
        <v>325</v>
      </c>
      <c r="B44" s="534">
        <v>49.953516659770116</v>
      </c>
      <c r="C44" s="550"/>
      <c r="D44" s="535"/>
    </row>
    <row r="45" spans="1:8">
      <c r="A45" s="536" t="s">
        <v>76</v>
      </c>
      <c r="B45" s="534">
        <v>26.898047432183908</v>
      </c>
      <c r="C45" s="537"/>
      <c r="D45" s="535"/>
      <c r="H45" s="205"/>
    </row>
    <row r="46" spans="1:8">
      <c r="A46" s="536" t="s">
        <v>78</v>
      </c>
      <c r="B46" s="534">
        <v>38.425782045977016</v>
      </c>
      <c r="C46" s="538"/>
      <c r="D46" s="535"/>
      <c r="H46" s="205"/>
    </row>
    <row r="47" spans="1:8" ht="13.5" customHeight="1">
      <c r="A47" s="536"/>
      <c r="B47" s="534"/>
      <c r="C47" s="538"/>
      <c r="D47" s="535"/>
    </row>
    <row r="48" spans="1:8">
      <c r="A48" s="554" t="s">
        <v>309</v>
      </c>
      <c r="B48" s="552">
        <f>SUM(B49:B58)</f>
        <v>6675.8416857821439</v>
      </c>
      <c r="C48" s="538"/>
      <c r="D48" s="535"/>
    </row>
    <row r="49" spans="1:8">
      <c r="A49" s="536" t="s">
        <v>81</v>
      </c>
      <c r="B49" s="534">
        <v>23.055469227586208</v>
      </c>
      <c r="C49" s="539"/>
      <c r="D49" s="535"/>
    </row>
    <row r="50" spans="1:8" ht="11.25" customHeight="1">
      <c r="A50" s="536" t="s">
        <v>326</v>
      </c>
      <c r="B50" s="534">
        <v>3844.8060137000703</v>
      </c>
      <c r="C50" s="539"/>
      <c r="D50" s="535"/>
    </row>
    <row r="51" spans="1:8" ht="12.75" customHeight="1">
      <c r="A51" s="536" t="s">
        <v>327</v>
      </c>
      <c r="B51" s="534">
        <v>640.94204452689655</v>
      </c>
      <c r="C51" s="537"/>
      <c r="D51" s="535"/>
      <c r="H51" s="205"/>
    </row>
    <row r="52" spans="1:8" ht="12.75" customHeight="1">
      <c r="A52" s="536" t="s">
        <v>94</v>
      </c>
      <c r="B52" s="534">
        <v>1.9212891022988505</v>
      </c>
      <c r="C52" s="540"/>
      <c r="D52" s="535"/>
    </row>
    <row r="53" spans="1:8" ht="14.25" customHeight="1">
      <c r="A53" s="536" t="s">
        <v>328</v>
      </c>
      <c r="B53" s="534">
        <v>748.92495137793173</v>
      </c>
      <c r="D53" s="535"/>
    </row>
    <row r="54" spans="1:8">
      <c r="A54" s="536" t="s">
        <v>99</v>
      </c>
      <c r="B54" s="534">
        <v>530.27579223448276</v>
      </c>
      <c r="C54" s="538"/>
      <c r="D54" s="535"/>
    </row>
    <row r="55" spans="1:8" ht="12.75" customHeight="1">
      <c r="A55" s="536" t="s">
        <v>102</v>
      </c>
      <c r="B55" s="534">
        <v>475.81535190172923</v>
      </c>
      <c r="C55" s="538"/>
      <c r="D55" s="535"/>
    </row>
    <row r="56" spans="1:8" ht="12.75" customHeight="1">
      <c r="A56" s="536" t="s">
        <v>329</v>
      </c>
      <c r="B56" s="534">
        <v>219.79547330298851</v>
      </c>
      <c r="C56" s="538"/>
      <c r="D56" s="535"/>
    </row>
    <row r="57" spans="1:8" ht="12.75" customHeight="1">
      <c r="A57" s="536" t="s">
        <v>109</v>
      </c>
      <c r="B57" s="534">
        <v>9.606445511494254</v>
      </c>
      <c r="C57" s="538"/>
      <c r="D57" s="535"/>
    </row>
    <row r="58" spans="1:8">
      <c r="A58" s="536" t="s">
        <v>330</v>
      </c>
      <c r="B58" s="534">
        <v>180.69885489666686</v>
      </c>
      <c r="C58" s="537"/>
      <c r="D58" s="542"/>
    </row>
    <row r="59" spans="1:8">
      <c r="A59" s="536"/>
      <c r="B59" s="534"/>
      <c r="C59" s="538"/>
      <c r="D59" s="535"/>
    </row>
    <row r="60" spans="1:8" ht="16.149999999999999" customHeight="1">
      <c r="A60" s="554" t="s">
        <v>312</v>
      </c>
      <c r="B60" s="552">
        <f>SUM(B61:B62)</f>
        <v>956.02280049979254</v>
      </c>
      <c r="C60" s="543"/>
      <c r="D60" s="535"/>
    </row>
    <row r="61" spans="1:8">
      <c r="A61" s="536" t="s">
        <v>26</v>
      </c>
      <c r="B61" s="534">
        <v>517.95026460791371</v>
      </c>
      <c r="C61" s="538"/>
      <c r="D61" s="535"/>
    </row>
    <row r="62" spans="1:8" ht="12.75" customHeight="1">
      <c r="A62" s="536" t="s">
        <v>27</v>
      </c>
      <c r="B62" s="534">
        <v>438.07253589187889</v>
      </c>
      <c r="C62" s="554" t="s">
        <v>331</v>
      </c>
      <c r="D62" s="535"/>
    </row>
    <row r="63" spans="1:8">
      <c r="A63" s="536"/>
      <c r="B63" s="534"/>
      <c r="C63" s="543"/>
      <c r="D63" s="535"/>
    </row>
    <row r="64" spans="1:8" ht="16.149999999999999" customHeight="1">
      <c r="A64" s="554" t="s">
        <v>314</v>
      </c>
      <c r="B64" s="552">
        <f>SUM(B65:B68)</f>
        <v>22317.709441428895</v>
      </c>
      <c r="C64" s="543"/>
      <c r="D64" s="535"/>
    </row>
    <row r="65" spans="1:7">
      <c r="A65" s="536" t="s">
        <v>332</v>
      </c>
      <c r="B65" s="534">
        <v>21772.356909350852</v>
      </c>
      <c r="C65" s="539"/>
      <c r="D65" s="535"/>
    </row>
    <row r="66" spans="1:7">
      <c r="A66" s="536" t="s">
        <v>43</v>
      </c>
      <c r="B66" s="534">
        <v>400.87159158516874</v>
      </c>
      <c r="C66" s="554" t="s">
        <v>333</v>
      </c>
      <c r="D66" s="535"/>
    </row>
    <row r="67" spans="1:7">
      <c r="A67" s="536" t="s">
        <v>44</v>
      </c>
      <c r="B67" s="534">
        <v>76.851564091954032</v>
      </c>
      <c r="C67" s="544"/>
      <c r="D67" s="535"/>
    </row>
    <row r="68" spans="1:7">
      <c r="A68" s="536" t="s">
        <v>45</v>
      </c>
      <c r="B68" s="534">
        <v>67.62937640091954</v>
      </c>
      <c r="C68" s="539"/>
      <c r="D68" s="535"/>
    </row>
    <row r="69" spans="1:7">
      <c r="A69" s="536"/>
      <c r="B69" s="534"/>
      <c r="C69" s="539"/>
      <c r="D69" s="535"/>
    </row>
    <row r="70" spans="1:7" ht="15" customHeight="1">
      <c r="A70" s="554" t="s">
        <v>316</v>
      </c>
      <c r="B70" s="552">
        <f>SUM(B71:B72)</f>
        <v>331.65292483882757</v>
      </c>
      <c r="C70" s="554" t="s">
        <v>334</v>
      </c>
      <c r="D70" s="536"/>
    </row>
    <row r="71" spans="1:7" ht="15" customHeight="1">
      <c r="A71" s="536" t="s">
        <v>116</v>
      </c>
      <c r="B71" s="534">
        <v>108.78338897216092</v>
      </c>
      <c r="C71" s="544"/>
      <c r="D71" s="536"/>
    </row>
    <row r="72" spans="1:7">
      <c r="A72" s="536" t="s">
        <v>118</v>
      </c>
      <c r="B72" s="534">
        <v>222.86953586666667</v>
      </c>
      <c r="D72" s="535"/>
    </row>
    <row r="73" spans="1:7" ht="13.5" thickBot="1">
      <c r="A73" s="545"/>
      <c r="B73" s="534"/>
      <c r="C73" s="538"/>
      <c r="D73" s="535"/>
    </row>
    <row r="74" spans="1:7" ht="22.5" customHeight="1" thickBot="1">
      <c r="A74" s="559" t="s">
        <v>317</v>
      </c>
      <c r="B74" s="558">
        <f>B70+B64+B60+B48+B37+B32</f>
        <v>34327.735415229363</v>
      </c>
      <c r="C74" s="559" t="s">
        <v>318</v>
      </c>
      <c r="D74" s="557">
        <f>SUM(D32:D73)</f>
        <v>34327.74</v>
      </c>
    </row>
    <row r="76" spans="1:7" s="50" customFormat="1">
      <c r="A76"/>
      <c r="B76"/>
      <c r="C76" s="546"/>
      <c r="D76" s="547"/>
      <c r="E76"/>
      <c r="F76"/>
      <c r="G76"/>
    </row>
  </sheetData>
  <mergeCells count="2">
    <mergeCell ref="A28:D28"/>
    <mergeCell ref="A3:D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35"/>
  <sheetViews>
    <sheetView zoomScale="80" zoomScaleNormal="80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AB125" sqref="AB125"/>
    </sheetView>
  </sheetViews>
  <sheetFormatPr baseColWidth="10" defaultColWidth="11.42578125" defaultRowHeight="12.75"/>
  <cols>
    <col min="1" max="1" width="28.7109375" bestFit="1" customWidth="1"/>
    <col min="2" max="2" width="11.5703125" customWidth="1"/>
    <col min="3" max="3" width="6.140625" bestFit="1" customWidth="1"/>
    <col min="4" max="4" width="11.5703125" customWidth="1"/>
    <col min="5" max="5" width="6.28515625" bestFit="1" customWidth="1"/>
    <col min="6" max="6" width="11.5703125" customWidth="1"/>
    <col min="7" max="7" width="6.28515625" customWidth="1"/>
    <col min="8" max="8" width="11.28515625" style="124" hidden="1" customWidth="1"/>
    <col min="9" max="9" width="6.85546875" style="124" hidden="1" customWidth="1"/>
    <col min="10" max="10" width="9.28515625" bestFit="1" customWidth="1"/>
    <col min="11" max="11" width="5.140625" bestFit="1" customWidth="1"/>
    <col min="12" max="12" width="11.5703125" customWidth="1"/>
    <col min="13" max="13" width="6.140625" bestFit="1" customWidth="1"/>
    <col min="14" max="14" width="11.5703125" customWidth="1"/>
    <col min="15" max="15" width="10.140625" bestFit="1" customWidth="1"/>
    <col min="16" max="16" width="15.85546875" bestFit="1" customWidth="1"/>
    <col min="17" max="17" width="5.140625" bestFit="1" customWidth="1"/>
    <col min="18" max="18" width="12.42578125" customWidth="1"/>
    <col min="19" max="19" width="6" customWidth="1"/>
    <col min="20" max="20" width="12" customWidth="1"/>
    <col min="21" max="21" width="6.140625" customWidth="1"/>
    <col min="22" max="22" width="4.5703125" style="206" customWidth="1"/>
    <col min="23" max="23" width="1.85546875" customWidth="1"/>
    <col min="24" max="24" width="12" bestFit="1" customWidth="1"/>
    <col min="25" max="25" width="5.5703125" customWidth="1"/>
    <col min="26" max="26" width="10.7109375" customWidth="1"/>
    <col min="27" max="27" width="6.140625" bestFit="1" customWidth="1"/>
    <col min="28" max="28" width="12.140625" bestFit="1" customWidth="1"/>
    <col min="29" max="29" width="6.140625" customWidth="1"/>
    <col min="30" max="30" width="9.28515625" bestFit="1" customWidth="1"/>
    <col min="31" max="31" width="6.140625" customWidth="1"/>
    <col min="32" max="32" width="1.85546875" customWidth="1"/>
    <col min="43" max="43" width="11" customWidth="1"/>
    <col min="44" max="44" width="6.28515625" customWidth="1"/>
    <col min="45" max="45" width="11.5703125" customWidth="1"/>
    <col min="46" max="46" width="6.140625" customWidth="1"/>
    <col min="47" max="47" width="11" customWidth="1"/>
    <col min="48" max="48" width="6.28515625" customWidth="1"/>
    <col min="49" max="49" width="11.5703125" hidden="1" customWidth="1"/>
    <col min="50" max="50" width="6.140625" hidden="1" customWidth="1"/>
    <col min="51" max="51" width="12" hidden="1" customWidth="1"/>
    <col min="52" max="52" width="5.85546875" hidden="1" customWidth="1"/>
    <col min="53" max="53" width="5.140625" hidden="1" customWidth="1"/>
    <col min="54" max="54" width="7.7109375" customWidth="1"/>
    <col min="55" max="55" width="3" customWidth="1"/>
    <col min="56" max="56" width="11.5703125" customWidth="1"/>
    <col min="57" max="57" width="6.28515625" customWidth="1"/>
    <col min="58" max="58" width="4.5703125" customWidth="1"/>
    <col min="59" max="59" width="2.7109375" customWidth="1"/>
    <col min="60" max="60" width="12" bestFit="1" customWidth="1"/>
    <col min="61" max="61" width="6.28515625" customWidth="1"/>
    <col min="62" max="62" width="4.5703125" customWidth="1"/>
  </cols>
  <sheetData>
    <row r="1" spans="1:62">
      <c r="D1" s="205"/>
      <c r="H1" s="213">
        <f>1623.59-H46</f>
        <v>1623.59</v>
      </c>
      <c r="J1" s="205"/>
      <c r="O1" s="123"/>
      <c r="P1" s="267"/>
      <c r="T1" s="205"/>
      <c r="X1" s="487">
        <f>X125-X123</f>
        <v>-968.72114884208531</v>
      </c>
      <c r="Y1" s="205"/>
      <c r="Z1" s="123">
        <f>Z125-Z123</f>
        <v>-253.53426588870298</v>
      </c>
      <c r="AA1" s="205"/>
      <c r="AB1" s="282">
        <f>AB125-AB123</f>
        <v>375.72332898303284</v>
      </c>
      <c r="AG1">
        <v>787.15345695175904</v>
      </c>
      <c r="AY1" s="123"/>
    </row>
    <row r="2" spans="1:62">
      <c r="O2" s="191"/>
      <c r="P2" s="191"/>
      <c r="T2" s="123"/>
      <c r="AQ2" s="123"/>
    </row>
    <row r="3" spans="1:62" ht="25.5" customHeight="1">
      <c r="A3" s="1968"/>
      <c r="B3" s="2022" t="s">
        <v>335</v>
      </c>
      <c r="C3" s="2023"/>
      <c r="D3" s="2023"/>
      <c r="E3" s="2023"/>
      <c r="F3" s="2023"/>
      <c r="G3" s="2023"/>
      <c r="H3" s="2023"/>
      <c r="I3" s="2023"/>
      <c r="J3" s="2023"/>
      <c r="K3" s="2023"/>
      <c r="L3" s="2023"/>
      <c r="M3" s="2023"/>
      <c r="N3" s="2023"/>
      <c r="O3" s="2023"/>
      <c r="P3" s="2023"/>
      <c r="Q3" s="2023"/>
      <c r="R3" s="2023"/>
      <c r="S3" s="2023"/>
      <c r="T3" s="2023"/>
      <c r="U3" s="2023"/>
      <c r="V3" s="2024"/>
      <c r="W3" s="51"/>
      <c r="X3" s="2031" t="s">
        <v>336</v>
      </c>
      <c r="Y3" s="2031"/>
      <c r="Z3" s="2031"/>
      <c r="AA3" s="2031"/>
      <c r="AB3" s="2031"/>
      <c r="AC3" s="2031"/>
      <c r="AD3" s="2031"/>
      <c r="AE3" s="2031"/>
      <c r="AF3" s="51"/>
      <c r="AQ3" s="1979" t="str">
        <f>'Dépenses BP 2017'!B5</f>
        <v>Appel à projet GPEC-T</v>
      </c>
      <c r="AR3" s="1979"/>
      <c r="AS3" s="1979"/>
      <c r="AT3" s="1979"/>
      <c r="AU3" s="1979"/>
      <c r="AV3" s="1979"/>
      <c r="AW3" s="451"/>
      <c r="AX3" s="451"/>
      <c r="AY3" s="451"/>
      <c r="AZ3" s="451"/>
      <c r="BA3" s="452"/>
      <c r="BB3" s="51"/>
      <c r="BC3" s="52"/>
      <c r="BD3" s="1971" t="str">
        <f>'Dépenses BP 2017'!Q5</f>
        <v>XX</v>
      </c>
      <c r="BE3" s="1971"/>
      <c r="BF3" s="1971"/>
      <c r="BG3" s="52"/>
      <c r="BH3" s="1982" t="str">
        <f>'Dépenses BP 2017'!T5</f>
        <v>S/Total MdE 
Conv° Etat 70%-30%</v>
      </c>
      <c r="BI3" s="1982"/>
      <c r="BJ3" s="1982"/>
    </row>
    <row r="4" spans="1:62" ht="13.5" thickBot="1">
      <c r="A4" s="1968"/>
      <c r="B4" s="2025"/>
      <c r="C4" s="2026"/>
      <c r="D4" s="2026"/>
      <c r="E4" s="2026"/>
      <c r="F4" s="2026"/>
      <c r="G4" s="2026"/>
      <c r="H4" s="2026"/>
      <c r="I4" s="2026"/>
      <c r="J4" s="2026"/>
      <c r="K4" s="2026"/>
      <c r="L4" s="2026"/>
      <c r="M4" s="2026"/>
      <c r="N4" s="2026"/>
      <c r="O4" s="2026"/>
      <c r="P4" s="2026"/>
      <c r="Q4" s="2026"/>
      <c r="R4" s="2026"/>
      <c r="S4" s="2026"/>
      <c r="T4" s="2026"/>
      <c r="U4" s="2026"/>
      <c r="V4" s="2027"/>
      <c r="W4" s="51"/>
      <c r="X4" s="2031"/>
      <c r="Y4" s="2031"/>
      <c r="Z4" s="2031"/>
      <c r="AA4" s="2031"/>
      <c r="AB4" s="2031"/>
      <c r="AC4" s="2031"/>
      <c r="AD4" s="2031"/>
      <c r="AE4" s="2031"/>
      <c r="AF4" s="51"/>
      <c r="AQ4" s="1979"/>
      <c r="AR4" s="1979"/>
      <c r="AS4" s="1979"/>
      <c r="AT4" s="1979"/>
      <c r="AU4" s="1979"/>
      <c r="AV4" s="1979"/>
      <c r="AW4" s="453"/>
      <c r="AX4" s="453"/>
      <c r="AY4" s="453"/>
      <c r="AZ4" s="453"/>
      <c r="BA4" s="454"/>
      <c r="BB4" s="51"/>
      <c r="BC4" s="52"/>
      <c r="BD4" s="1971"/>
      <c r="BE4" s="1971"/>
      <c r="BF4" s="1971"/>
      <c r="BG4" s="52"/>
      <c r="BH4" s="1982"/>
      <c r="BI4" s="1982"/>
      <c r="BJ4" s="1982"/>
    </row>
    <row r="5" spans="1:62" ht="42" customHeight="1">
      <c r="A5" s="1968"/>
      <c r="B5" s="2021" t="s">
        <v>337</v>
      </c>
      <c r="C5" s="2021"/>
      <c r="D5" s="2021" t="s">
        <v>338</v>
      </c>
      <c r="E5" s="2021"/>
      <c r="F5" s="2021" t="s">
        <v>339</v>
      </c>
      <c r="G5" s="2021"/>
      <c r="H5" s="2032" t="s">
        <v>270</v>
      </c>
      <c r="I5" s="2033"/>
      <c r="J5" s="2034" t="s">
        <v>340</v>
      </c>
      <c r="K5" s="2035"/>
      <c r="L5" s="2021" t="s">
        <v>341</v>
      </c>
      <c r="M5" s="2021"/>
      <c r="N5" s="2036" t="str">
        <f>'Recettes BP 2017'!K5</f>
        <v>Garantie Jeune</v>
      </c>
      <c r="O5" s="2036"/>
      <c r="P5" s="2028" t="str">
        <f>'Recettes BP 2017'!L5</f>
        <v>Emploi d'Avenir</v>
      </c>
      <c r="Q5" s="2028"/>
      <c r="R5" s="2029" t="s">
        <v>139</v>
      </c>
      <c r="S5" s="2030"/>
      <c r="T5" s="2031" t="s">
        <v>342</v>
      </c>
      <c r="U5" s="2031"/>
      <c r="V5" s="2031"/>
      <c r="W5" s="52"/>
      <c r="X5" s="2037" t="s">
        <v>343</v>
      </c>
      <c r="Y5" s="2038"/>
      <c r="Z5" s="2039" t="s">
        <v>344</v>
      </c>
      <c r="AA5" s="2038"/>
      <c r="AB5" s="2040" t="s">
        <v>345</v>
      </c>
      <c r="AC5" s="2041"/>
      <c r="AD5" s="2042" t="s">
        <v>346</v>
      </c>
      <c r="AE5" s="2043"/>
      <c r="AF5" s="52"/>
      <c r="AG5" s="204" t="s">
        <v>278</v>
      </c>
      <c r="AH5" s="339" t="s">
        <v>279</v>
      </c>
      <c r="AQ5" s="1976" t="s">
        <v>139</v>
      </c>
      <c r="AR5" s="1976"/>
      <c r="AS5" s="1976" t="s">
        <v>139</v>
      </c>
      <c r="AT5" s="1976"/>
      <c r="AU5" s="1976" t="s">
        <v>260</v>
      </c>
      <c r="AV5" s="1976"/>
      <c r="AW5" s="1975" t="s">
        <v>347</v>
      </c>
      <c r="AX5" s="1976"/>
      <c r="AY5" s="1976" t="s">
        <v>260</v>
      </c>
      <c r="AZ5" s="1976"/>
      <c r="BA5" s="1976"/>
      <c r="BB5" s="56"/>
      <c r="BC5" s="56"/>
      <c r="BD5" s="1970" t="s">
        <v>277</v>
      </c>
      <c r="BE5" s="1970"/>
      <c r="BF5" s="1970"/>
      <c r="BG5" s="56"/>
      <c r="BH5" s="1982"/>
      <c r="BI5" s="1982"/>
      <c r="BJ5" s="1983"/>
    </row>
    <row r="6" spans="1:62" ht="13.5" thickBot="1">
      <c r="A6" s="221" t="s">
        <v>280</v>
      </c>
      <c r="B6" s="73" t="e">
        <f>SUM(B7:B54)</f>
        <v>#REF!</v>
      </c>
      <c r="C6" s="73">
        <f t="shared" ref="C6:Q6" si="0">SUM(C7:C49)</f>
        <v>1.7820695300000002</v>
      </c>
      <c r="D6" s="73">
        <f t="shared" si="0"/>
        <v>172150.74437059078</v>
      </c>
      <c r="E6" s="73">
        <f t="shared" si="0"/>
        <v>3.28</v>
      </c>
      <c r="F6" s="73">
        <f>SUM(F7:F52)</f>
        <v>25661.351107596907</v>
      </c>
      <c r="G6" s="73">
        <f>SUM(G7:G52)</f>
        <v>1.7695081117558888</v>
      </c>
      <c r="H6" s="125">
        <f t="shared" si="0"/>
        <v>0</v>
      </c>
      <c r="I6" s="125">
        <f t="shared" si="0"/>
        <v>0</v>
      </c>
      <c r="J6" s="73">
        <f t="shared" si="0"/>
        <v>30690.987068297403</v>
      </c>
      <c r="K6" s="73">
        <f t="shared" si="0"/>
        <v>0.48780000000000007</v>
      </c>
      <c r="L6" s="73">
        <f t="shared" si="0"/>
        <v>25060.268651186499</v>
      </c>
      <c r="M6" s="73">
        <f t="shared" si="0"/>
        <v>0.38694999999999996</v>
      </c>
      <c r="N6" s="73">
        <f>SUM(N7:N51)</f>
        <v>42495.884988799196</v>
      </c>
      <c r="O6" s="73">
        <f t="shared" si="0"/>
        <v>0.92707586417864796</v>
      </c>
      <c r="P6" s="73">
        <f t="shared" si="0"/>
        <v>9893.8178671106416</v>
      </c>
      <c r="Q6" s="73">
        <f t="shared" si="0"/>
        <v>0.222</v>
      </c>
      <c r="R6" s="73">
        <f>SUM(R7:R49)</f>
        <v>0</v>
      </c>
      <c r="S6" s="73">
        <f>SUM(S7:S49)</f>
        <v>0</v>
      </c>
      <c r="T6" s="73">
        <f>'Dépenses BP 2017'!AQ6</f>
        <v>500460.09532405622</v>
      </c>
      <c r="U6" s="73" t="e">
        <f>'Dépenses BP 2017'!#REF!</f>
        <v>#REF!</v>
      </c>
      <c r="V6" s="73">
        <f>'Dépenses BP 2017'!AR6</f>
        <v>11.853767805934536</v>
      </c>
      <c r="W6" s="53"/>
      <c r="X6" s="73">
        <f t="shared" ref="X6:AE6" si="1">SUM(X7:X52)</f>
        <v>10801.059579331393</v>
      </c>
      <c r="Y6" s="73">
        <f t="shared" si="1"/>
        <v>0.20921518399799999</v>
      </c>
      <c r="Z6" s="73">
        <f t="shared" si="1"/>
        <v>4956.4560146502563</v>
      </c>
      <c r="AA6" s="73">
        <f t="shared" si="1"/>
        <v>9.993713634000001E-2</v>
      </c>
      <c r="AB6" s="73">
        <f t="shared" si="1"/>
        <v>6149.481831818106</v>
      </c>
      <c r="AC6" s="202">
        <f t="shared" si="1"/>
        <v>0.10900000000000001</v>
      </c>
      <c r="AD6" s="202">
        <f t="shared" si="1"/>
        <v>35467.261463314462</v>
      </c>
      <c r="AE6" s="202">
        <f t="shared" si="1"/>
        <v>1</v>
      </c>
      <c r="AF6" s="53"/>
      <c r="AG6" s="203">
        <f>'Dépenses BP 2017'!$BL$6</f>
        <v>15.74038</v>
      </c>
      <c r="AH6" s="203">
        <f>'Dépenses BP 2017'!BI6</f>
        <v>0.57788699946160904</v>
      </c>
      <c r="AQ6" s="62" t="e">
        <f>SUM(AQ7:AQ49)</f>
        <v>#DIV/0!</v>
      </c>
      <c r="AR6" s="62">
        <f>SUM(AR7:AR49)</f>
        <v>0.35677593549999997</v>
      </c>
      <c r="AS6" s="62" t="e">
        <f>SUM(AS7:AS49)</f>
        <v>#DIV/0!</v>
      </c>
      <c r="AT6" s="62">
        <f>SUM(AT7:AT49)</f>
        <v>5.1224064499999999E-2</v>
      </c>
      <c r="AU6" s="62">
        <f>'Dépenses BP 2017'!B6</f>
        <v>12120.085951614756</v>
      </c>
      <c r="AV6" s="62">
        <f>'Dépenses BP 2017'!D6</f>
        <v>0.253</v>
      </c>
      <c r="AW6" s="62">
        <f>'Dépenses BP 2017'!E6</f>
        <v>0</v>
      </c>
      <c r="AX6" s="62">
        <f>'Dépenses BP 2017'!F6</f>
        <v>0</v>
      </c>
      <c r="AY6" s="62">
        <f>'Dépenses BP 2017'!G6</f>
        <v>12120.085951614756</v>
      </c>
      <c r="AZ6" s="62" t="str">
        <f>'Dépenses BP 2017'!H6</f>
        <v>Clé de rép.</v>
      </c>
      <c r="BA6" s="62">
        <f>'Dépenses BP 2017'!I6</f>
        <v>0.253</v>
      </c>
      <c r="BB6" s="57"/>
      <c r="BC6" s="53"/>
      <c r="BD6" s="73">
        <f>'Dépenses BP 2017'!Q6</f>
        <v>30925.212407713047</v>
      </c>
      <c r="BE6" s="73" t="str">
        <f>'Dépenses BP 2017'!R6</f>
        <v>Clé de rép.</v>
      </c>
      <c r="BF6" s="73">
        <f>'Dépenses BP 2017'!S6</f>
        <v>0.65379940000000003</v>
      </c>
      <c r="BG6" s="53"/>
      <c r="BH6" s="73">
        <f>'Dépenses BP 2017'!T6</f>
        <v>150568.85743344325</v>
      </c>
      <c r="BI6" s="73" t="str">
        <f>'Dépenses BP 2017'!U6</f>
        <v>Clé de 
rép.</v>
      </c>
      <c r="BJ6" s="202">
        <f>'Dépenses BP 2017'!V6</f>
        <v>3.3097252192565514</v>
      </c>
    </row>
    <row r="7" spans="1:62">
      <c r="A7" s="1584" t="str">
        <f>'Dépenses BP 2017'!A7</f>
        <v>XX</v>
      </c>
      <c r="B7" s="489">
        <f>($C$7*T7)/$V$7</f>
        <v>1597.1030399999997</v>
      </c>
      <c r="C7" s="490">
        <v>6.0000000000000001E-3</v>
      </c>
      <c r="D7" s="489">
        <f>(T7*$E$7)/$V$7</f>
        <v>26618.383999999998</v>
      </c>
      <c r="E7" s="489">
        <v>0.1</v>
      </c>
      <c r="F7" s="489">
        <f>(T7*$G$7)/$V$7</f>
        <v>-20229.971840000002</v>
      </c>
      <c r="G7" s="489">
        <f>V7-S7-Q7-O7-M7-K7-E7-C7</f>
        <v>-7.6000000000000012E-2</v>
      </c>
      <c r="H7" s="491"/>
      <c r="I7" s="491"/>
      <c r="J7" s="489">
        <f>(T7*$K$7)/$V$7</f>
        <v>5323.6767999999993</v>
      </c>
      <c r="K7" s="489">
        <v>0.02</v>
      </c>
      <c r="L7" s="489">
        <f>($M$7*T7)/$V$7</f>
        <v>5323.6767999999993</v>
      </c>
      <c r="M7" s="489">
        <v>0.02</v>
      </c>
      <c r="N7" s="506">
        <f>(T7*$O$7)/$V$7</f>
        <v>0</v>
      </c>
      <c r="O7" s="506">
        <f>'Dépenses BP 2017'!AD7</f>
        <v>0</v>
      </c>
      <c r="P7" s="508">
        <f>(T7*$Q$7)/$V$7</f>
        <v>0</v>
      </c>
      <c r="Q7" s="509">
        <f>'Dépenses BP 2017'!AG7</f>
        <v>0</v>
      </c>
      <c r="R7" s="511">
        <f>(T7*$S$7)/$V$7</f>
        <v>0</v>
      </c>
      <c r="S7" s="511">
        <v>0</v>
      </c>
      <c r="T7" s="501">
        <f>'Dépenses BP 2017'!AQ7</f>
        <v>18632.8688</v>
      </c>
      <c r="U7" s="501"/>
      <c r="V7" s="502">
        <f>'Dépenses BP 2017'!AR7</f>
        <v>7.0000000000000007E-2</v>
      </c>
      <c r="W7" s="54"/>
      <c r="X7" s="520">
        <f>(Y7*T7)/V7</f>
        <v>1131.1386135196992</v>
      </c>
      <c r="Y7" s="520">
        <v>4.2494638800000002E-3</v>
      </c>
      <c r="Z7" s="520">
        <f>(AA7*T7)/V7</f>
        <v>515.63438958474558</v>
      </c>
      <c r="AA7" s="520">
        <v>1.9371363400000001E-3</v>
      </c>
      <c r="AB7" s="518">
        <f>(AC7*T7)/V7</f>
        <v>1330.9191999999998</v>
      </c>
      <c r="AC7" s="590">
        <v>5.0000000000000001E-3</v>
      </c>
      <c r="AD7" s="596"/>
      <c r="AE7" s="596"/>
      <c r="AF7" s="54"/>
      <c r="AH7">
        <v>2.5000000000000001E-3</v>
      </c>
      <c r="AN7" s="212"/>
      <c r="AO7" s="205"/>
      <c r="AQ7" s="220" t="e">
        <f>(AR7*AU7)/AV7</f>
        <v>#DIV/0!</v>
      </c>
      <c r="AR7" s="61">
        <v>3.5000000000000003E-2</v>
      </c>
      <c r="AS7" s="61" t="e">
        <f>(AT7*AU7)/AV7</f>
        <v>#DIV/0!</v>
      </c>
      <c r="AT7" s="61">
        <v>2.5000000000000001E-2</v>
      </c>
      <c r="AU7" s="220">
        <f>'Dépenses BP 2017'!B7</f>
        <v>0</v>
      </c>
      <c r="AV7" s="61">
        <f>'Dépenses BP 2017'!D7</f>
        <v>0</v>
      </c>
      <c r="AW7" s="61">
        <f>'Dépenses BP 2017'!E7</f>
        <v>0</v>
      </c>
      <c r="AX7" s="61">
        <f>'Dépenses BP 2017'!F7</f>
        <v>0</v>
      </c>
      <c r="AY7" s="61">
        <f>'Dépenses BP 2017'!G7</f>
        <v>0</v>
      </c>
      <c r="AZ7" s="61"/>
      <c r="BA7" s="61">
        <f>'Dépenses BP 2017'!I7</f>
        <v>0</v>
      </c>
      <c r="BB7" s="58"/>
      <c r="BC7" s="211"/>
      <c r="BD7" s="78">
        <f>'Dépenses BP 2017'!Q7</f>
        <v>0</v>
      </c>
      <c r="BE7" s="78"/>
      <c r="BF7" s="78">
        <f>'Dépenses BP 2017'!S7</f>
        <v>0</v>
      </c>
      <c r="BG7" s="211"/>
      <c r="BH7" s="82">
        <f>'Dépenses BP 2017'!T7</f>
        <v>6654.5959999999995</v>
      </c>
      <c r="BI7" s="82"/>
      <c r="BJ7" s="82">
        <f>'Dépenses BP 2017'!V7</f>
        <v>0</v>
      </c>
    </row>
    <row r="8" spans="1:62">
      <c r="A8" s="1584"/>
      <c r="B8" s="489">
        <f>($C$7*T8)/$V$7</f>
        <v>14.727599999999997</v>
      </c>
      <c r="C8" s="490"/>
      <c r="D8" s="489">
        <f>(T8*$E$7)/$V$7</f>
        <v>245.46</v>
      </c>
      <c r="E8" s="489"/>
      <c r="F8" s="489">
        <f>(T8*$G$7)/$V$7</f>
        <v>-186.5496</v>
      </c>
      <c r="G8" s="489"/>
      <c r="H8" s="491"/>
      <c r="I8" s="491"/>
      <c r="J8" s="489">
        <f>(T8*$K$7)/$V$7</f>
        <v>49.091999999999999</v>
      </c>
      <c r="K8" s="489"/>
      <c r="L8" s="489">
        <f>($M$7*T8)/$V$7</f>
        <v>49.091999999999999</v>
      </c>
      <c r="M8" s="489"/>
      <c r="N8" s="506">
        <f>(T8*$O$7)/$V$7</f>
        <v>0</v>
      </c>
      <c r="O8" s="506"/>
      <c r="P8" s="508">
        <f>(T8*$Q$7)/$V$7</f>
        <v>0</v>
      </c>
      <c r="Q8" s="509"/>
      <c r="R8" s="511">
        <f>(T8*$S$7)/$V$7</f>
        <v>0</v>
      </c>
      <c r="S8" s="511"/>
      <c r="T8" s="501">
        <f>'Dépenses BP 2017'!AQ8</f>
        <v>171.822</v>
      </c>
      <c r="U8" s="501"/>
      <c r="V8" s="502"/>
      <c r="W8" s="54"/>
      <c r="X8" s="520">
        <f>($Y$7*T8)/$V$7</f>
        <v>10.430734039848</v>
      </c>
      <c r="Y8" s="520"/>
      <c r="Z8" s="520">
        <f>($AA$7*T8)/$V$7</f>
        <v>4.7548948601639998</v>
      </c>
      <c r="AA8" s="520"/>
      <c r="AB8" s="518">
        <f>($AC$7*T8)/$V$7</f>
        <v>12.273</v>
      </c>
      <c r="AC8" s="590"/>
      <c r="AD8" s="596"/>
      <c r="AE8" s="596"/>
      <c r="AF8" s="54"/>
      <c r="AN8" s="212"/>
      <c r="AO8" s="205"/>
      <c r="AQ8" s="220"/>
      <c r="AR8" s="61"/>
      <c r="AS8" s="61"/>
      <c r="AT8" s="61"/>
      <c r="AU8" s="220"/>
      <c r="AV8" s="61"/>
      <c r="AW8" s="61"/>
      <c r="AX8" s="61"/>
      <c r="AY8" s="61"/>
      <c r="AZ8" s="61"/>
      <c r="BA8" s="61"/>
      <c r="BB8" s="58"/>
      <c r="BC8" s="211"/>
      <c r="BD8" s="78"/>
      <c r="BE8" s="78"/>
      <c r="BF8" s="78"/>
      <c r="BG8" s="211"/>
      <c r="BH8" s="82"/>
      <c r="BI8" s="82"/>
      <c r="BJ8" s="82"/>
    </row>
    <row r="9" spans="1:62">
      <c r="A9" s="1584"/>
      <c r="B9" s="489">
        <f>($C$7*T9)/$V$7</f>
        <v>3.9521400000000004</v>
      </c>
      <c r="C9" s="490"/>
      <c r="D9" s="489">
        <f>(T9*$E$7)/$V$7</f>
        <v>65.869</v>
      </c>
      <c r="E9" s="489"/>
      <c r="F9" s="489">
        <f>(T9*$G$7)/$V$7</f>
        <v>-50.060440000000014</v>
      </c>
      <c r="G9" s="489"/>
      <c r="H9" s="491"/>
      <c r="I9" s="491"/>
      <c r="J9" s="489">
        <f>(T9*$K$7)/$V$7</f>
        <v>13.173800000000002</v>
      </c>
      <c r="K9" s="489"/>
      <c r="L9" s="489">
        <f>($M$7*T9)/$V$7</f>
        <v>13.173800000000002</v>
      </c>
      <c r="M9" s="489"/>
      <c r="N9" s="506">
        <f>(T9*$O$7)/$V$7</f>
        <v>0</v>
      </c>
      <c r="O9" s="506"/>
      <c r="P9" s="508">
        <f>(T9*$Q$7)/$V$7</f>
        <v>0</v>
      </c>
      <c r="Q9" s="509"/>
      <c r="R9" s="511">
        <f>(T9*$S$7)/$V$7</f>
        <v>0</v>
      </c>
      <c r="S9" s="511"/>
      <c r="T9" s="501">
        <f>'Dépenses BP 2017'!AQ9</f>
        <v>46.108300000000007</v>
      </c>
      <c r="U9" s="501"/>
      <c r="V9" s="502"/>
      <c r="W9" s="54"/>
      <c r="X9" s="520">
        <f>($Y$7*T9)/$V$7</f>
        <v>2.7990793631172002</v>
      </c>
      <c r="Y9" s="520"/>
      <c r="Z9" s="520">
        <f>($AA$7*T9)/$V$7</f>
        <v>1.2759723357946002</v>
      </c>
      <c r="AA9" s="520"/>
      <c r="AB9" s="518">
        <f>($AC$7*T9)/$V$7</f>
        <v>3.2934500000000004</v>
      </c>
      <c r="AC9" s="590"/>
      <c r="AD9" s="596"/>
      <c r="AE9" s="596"/>
      <c r="AF9" s="54"/>
      <c r="AN9" s="212"/>
      <c r="AO9" s="205"/>
      <c r="AQ9" s="220"/>
      <c r="AR9" s="61"/>
      <c r="AS9" s="61"/>
      <c r="AT9" s="61"/>
      <c r="AU9" s="220"/>
      <c r="AV9" s="61"/>
      <c r="AW9" s="61"/>
      <c r="AX9" s="61"/>
      <c r="AY9" s="61"/>
      <c r="AZ9" s="61"/>
      <c r="BA9" s="61"/>
      <c r="BB9" s="58"/>
      <c r="BC9" s="211"/>
      <c r="BD9" s="78"/>
      <c r="BE9" s="78"/>
      <c r="BF9" s="78"/>
      <c r="BG9" s="211"/>
      <c r="BH9" s="82"/>
      <c r="BI9" s="82"/>
      <c r="BJ9" s="82"/>
    </row>
    <row r="10" spans="1:62">
      <c r="A10" s="1584" t="str">
        <f>'Dépenses BP 2017'!A10</f>
        <v>XX</v>
      </c>
      <c r="B10" s="489">
        <f>(C10*T10)/V10</f>
        <v>8379.8225757112286</v>
      </c>
      <c r="C10" s="490">
        <v>0.08</v>
      </c>
      <c r="D10" s="489">
        <f>(T10*E10)/V10</f>
        <v>15712.167329458553</v>
      </c>
      <c r="E10" s="489">
        <v>0.15</v>
      </c>
      <c r="F10" s="489">
        <f>(T10*G10)/V10</f>
        <v>-35810.434168989828</v>
      </c>
      <c r="G10" s="489">
        <f>V10-C10-E10-K10-M10-O10-Q10-S10</f>
        <v>-0.34187295824411135</v>
      </c>
      <c r="H10" s="491"/>
      <c r="I10" s="491"/>
      <c r="J10" s="489">
        <f>(T10*K10)/V10</f>
        <v>8379.8225757112286</v>
      </c>
      <c r="K10" s="489">
        <v>0.08</v>
      </c>
      <c r="L10" s="489">
        <f>(M10*T10)/V10</f>
        <v>8379.8225757112286</v>
      </c>
      <c r="M10" s="489">
        <v>0.08</v>
      </c>
      <c r="N10" s="506">
        <f>(T10*O10)/V10</f>
        <v>845.92886203264163</v>
      </c>
      <c r="O10" s="506">
        <f>'Dépenses BP 2017'!AD10</f>
        <v>8.0758641786479058E-3</v>
      </c>
      <c r="P10" s="508">
        <f>(T10*Q10)/V10</f>
        <v>0</v>
      </c>
      <c r="Q10" s="509">
        <f>'Dépenses BP 2017'!AG10</f>
        <v>0</v>
      </c>
      <c r="R10" s="511">
        <f>(T10*S10)/V10</f>
        <v>0</v>
      </c>
      <c r="S10" s="511">
        <v>0</v>
      </c>
      <c r="T10" s="501">
        <f>'Dépenses BP 2017'!AQ10</f>
        <v>5887.1297496350508</v>
      </c>
      <c r="U10" s="501"/>
      <c r="V10" s="502">
        <f>'Dépenses BP 2017'!AR10</f>
        <v>5.6202905934536564E-2</v>
      </c>
      <c r="W10" s="54"/>
      <c r="X10" s="520">
        <f>(Y10*T10)/V10</f>
        <v>520.14816936849786</v>
      </c>
      <c r="Y10" s="520">
        <v>4.9657201180000003E-3</v>
      </c>
      <c r="Z10" s="520">
        <f>(AA10*T10)/V10</f>
        <v>209.49556439278069</v>
      </c>
      <c r="AA10" s="520">
        <v>2E-3</v>
      </c>
      <c r="AB10" s="518">
        <f>(AC10*T10)/V10</f>
        <v>523.73891098195179</v>
      </c>
      <c r="AC10" s="590">
        <v>5.0000000000000001E-3</v>
      </c>
      <c r="AD10" s="596"/>
      <c r="AE10" s="596"/>
      <c r="AF10" s="54"/>
      <c r="AH10">
        <v>2.5000000000000001E-3</v>
      </c>
      <c r="AN10" s="212"/>
      <c r="AO10" s="205"/>
      <c r="AQ10" s="220" t="e">
        <f>(AR10*AU10)/AV10</f>
        <v>#DIV/0!</v>
      </c>
      <c r="AR10" s="61">
        <f>AV10-AT10</f>
        <v>-2.6224064500000002E-2</v>
      </c>
      <c r="AS10" s="61" t="e">
        <f>(AT10*AU10)/AV10</f>
        <v>#DIV/0!</v>
      </c>
      <c r="AT10" s="61">
        <v>2.6224064500000002E-2</v>
      </c>
      <c r="AU10" s="220">
        <f>'Dépenses BP 2017'!B10</f>
        <v>0</v>
      </c>
      <c r="AV10" s="61">
        <f>'Dépenses BP 2017'!D10</f>
        <v>0</v>
      </c>
      <c r="AW10" s="61">
        <f>'Dépenses BP 2017'!E10</f>
        <v>0</v>
      </c>
      <c r="AX10" s="61">
        <f>'Dépenses BP 2017'!F10</f>
        <v>0</v>
      </c>
      <c r="AY10" s="61">
        <f>'Dépenses BP 2017'!G10</f>
        <v>0</v>
      </c>
      <c r="AZ10" s="61"/>
      <c r="BA10" s="61">
        <f>'Dépenses BP 2017'!I10</f>
        <v>0</v>
      </c>
      <c r="BB10" s="58"/>
      <c r="BC10" s="211"/>
      <c r="BD10" s="78">
        <f>'Dépenses BP 2017'!Q10</f>
        <v>0</v>
      </c>
      <c r="BE10" s="78"/>
      <c r="BF10" s="78">
        <f>'Dépenses BP 2017'!S10</f>
        <v>0</v>
      </c>
      <c r="BG10" s="211"/>
      <c r="BH10" s="82">
        <f>'Dépenses BP 2017'!T10</f>
        <v>640.85519850957701</v>
      </c>
      <c r="BI10" s="82"/>
      <c r="BJ10" s="82">
        <f>'Dépenses BP 2017'!V10</f>
        <v>0</v>
      </c>
    </row>
    <row r="11" spans="1:62">
      <c r="A11" s="1584"/>
      <c r="B11" s="489">
        <f>($C$10*T11)/$V$10</f>
        <v>616.36670602672177</v>
      </c>
      <c r="C11" s="490"/>
      <c r="D11" s="489">
        <f>(T11*$E$10)/$V$10</f>
        <v>1155.6875738001033</v>
      </c>
      <c r="E11" s="489"/>
      <c r="F11" s="489">
        <f>(T11*$G$10)/$V$10</f>
        <v>-2633.9888644066741</v>
      </c>
      <c r="G11" s="489"/>
      <c r="H11" s="491"/>
      <c r="I11" s="491"/>
      <c r="J11" s="489">
        <f>(T11*$K$10)/$V$10</f>
        <v>616.36670602672177</v>
      </c>
      <c r="K11" s="489"/>
      <c r="L11" s="489">
        <f>($M$10*T11)/$V$10</f>
        <v>616.36670602672177</v>
      </c>
      <c r="M11" s="489"/>
      <c r="N11" s="506">
        <f>(T11*$O$10)/$V$10</f>
        <v>62.221172526405091</v>
      </c>
      <c r="O11" s="506"/>
      <c r="P11" s="508">
        <f>(T11*$Q$10)/$V$10</f>
        <v>0</v>
      </c>
      <c r="Q11" s="509"/>
      <c r="R11" s="511">
        <f>(T11*$S$10)/$V$10</f>
        <v>0</v>
      </c>
      <c r="S11" s="511"/>
      <c r="T11" s="501">
        <f>'Dépenses BP 2017'!AQ11</f>
        <v>433.02</v>
      </c>
      <c r="U11" s="501"/>
      <c r="V11" s="502"/>
      <c r="W11" s="54"/>
      <c r="X11" s="520">
        <f>($Y$10*T11)/$V$10</f>
        <v>38.258806902278558</v>
      </c>
      <c r="Y11" s="520"/>
      <c r="Z11" s="520">
        <f>($AA$10*T11)/$V$10</f>
        <v>15.409167650668048</v>
      </c>
      <c r="AA11" s="520"/>
      <c r="AB11" s="518">
        <f>($AC$10*T11)/$V$10</f>
        <v>38.522919126670111</v>
      </c>
      <c r="AC11" s="590"/>
      <c r="AD11" s="596"/>
      <c r="AE11" s="596"/>
      <c r="AF11" s="54"/>
      <c r="AN11" s="212"/>
      <c r="AO11" s="205"/>
      <c r="AQ11" s="220"/>
      <c r="AR11" s="61"/>
      <c r="AS11" s="61"/>
      <c r="AT11" s="61"/>
      <c r="AU11" s="220"/>
      <c r="AV11" s="61"/>
      <c r="AW11" s="61"/>
      <c r="AX11" s="61"/>
      <c r="AY11" s="61"/>
      <c r="AZ11" s="61"/>
      <c r="BA11" s="61"/>
      <c r="BB11" s="58"/>
      <c r="BC11" s="211"/>
      <c r="BD11" s="78"/>
      <c r="BE11" s="78"/>
      <c r="BF11" s="78"/>
      <c r="BG11" s="211"/>
      <c r="BH11" s="82"/>
      <c r="BI11" s="82"/>
      <c r="BJ11" s="82"/>
    </row>
    <row r="12" spans="1:62">
      <c r="A12" s="1584"/>
      <c r="B12" s="489">
        <f>($C$10*T12)/$V$10</f>
        <v>318.6312113622505</v>
      </c>
      <c r="C12" s="490"/>
      <c r="D12" s="489">
        <f>(T12*$E$10)/$V$10</f>
        <v>597.43352130421965</v>
      </c>
      <c r="E12" s="489"/>
      <c r="F12" s="489">
        <f>(T12*$G$10)/$V$10</f>
        <v>-1361.6424352164656</v>
      </c>
      <c r="G12" s="489"/>
      <c r="H12" s="491"/>
      <c r="I12" s="491"/>
      <c r="J12" s="489">
        <f>(T12*$K$10)/$V$10</f>
        <v>318.6312113622505</v>
      </c>
      <c r="K12" s="489"/>
      <c r="L12" s="489">
        <f>($M$10*T12)/$V$10</f>
        <v>318.6312113622505</v>
      </c>
      <c r="M12" s="489"/>
      <c r="N12" s="506">
        <f>(T12*$O$10)/$V$10</f>
        <v>32.165279825494849</v>
      </c>
      <c r="O12" s="506"/>
      <c r="P12" s="508">
        <f>(T12*$Q$10)/$V$10</f>
        <v>0</v>
      </c>
      <c r="Q12" s="509"/>
      <c r="R12" s="511">
        <f>(T12*$S$7)/$V$7</f>
        <v>0</v>
      </c>
      <c r="S12" s="511"/>
      <c r="T12" s="501">
        <f>'Dépenses BP 2017'!AQ12</f>
        <v>223.85</v>
      </c>
      <c r="U12" s="501"/>
      <c r="V12" s="502"/>
      <c r="W12" s="54"/>
      <c r="X12" s="520">
        <f>($Y$10*T12)/$V$10</f>
        <v>19.777917706052968</v>
      </c>
      <c r="Y12" s="520"/>
      <c r="Z12" s="520">
        <f>($AA$10*T12)/$V$10</f>
        <v>7.9657802840562608</v>
      </c>
      <c r="AA12" s="520"/>
      <c r="AB12" s="518">
        <f>($AC$10*T12)/$V$10</f>
        <v>19.914450710140656</v>
      </c>
      <c r="AC12" s="590"/>
      <c r="AD12" s="596"/>
      <c r="AE12" s="596"/>
      <c r="AF12" s="54"/>
      <c r="AN12" s="212"/>
      <c r="AO12" s="205"/>
      <c r="AQ12" s="220"/>
      <c r="AR12" s="61"/>
      <c r="AS12" s="61"/>
      <c r="AT12" s="61"/>
      <c r="AU12" s="220"/>
      <c r="AV12" s="61"/>
      <c r="AW12" s="61"/>
      <c r="AX12" s="61"/>
      <c r="AY12" s="61"/>
      <c r="AZ12" s="61"/>
      <c r="BA12" s="61"/>
      <c r="BB12" s="58"/>
      <c r="BC12" s="211"/>
      <c r="BD12" s="78"/>
      <c r="BE12" s="78"/>
      <c r="BF12" s="78"/>
      <c r="BG12" s="211"/>
      <c r="BH12" s="82"/>
      <c r="BI12" s="82"/>
      <c r="BJ12" s="82"/>
    </row>
    <row r="13" spans="1:62">
      <c r="A13" s="1584" t="str">
        <f>'Dépenses BP 2017'!A16</f>
        <v>XX</v>
      </c>
      <c r="B13" s="489">
        <f>(C13*T13)/V13</f>
        <v>4372.9273849600004</v>
      </c>
      <c r="C13" s="490">
        <v>0.1</v>
      </c>
      <c r="D13" s="489">
        <f>(T13*E13)/V13</f>
        <v>8745.8547699200008</v>
      </c>
      <c r="E13" s="489">
        <v>0.2</v>
      </c>
      <c r="F13" s="489">
        <f>(T13*G13)/V13</f>
        <v>16617.124062848001</v>
      </c>
      <c r="G13" s="489">
        <f>V13-C13-E13-K13-M13-O13-Q13-S13</f>
        <v>0.38</v>
      </c>
      <c r="H13" s="491"/>
      <c r="I13" s="491"/>
      <c r="J13" s="489">
        <f>(T13*K13)/V13</f>
        <v>3061.0491694719999</v>
      </c>
      <c r="K13" s="489">
        <v>7.0000000000000007E-2</v>
      </c>
      <c r="L13" s="489">
        <f>(M13*T13)/V13</f>
        <v>874.58547699200005</v>
      </c>
      <c r="M13" s="489">
        <v>0.02</v>
      </c>
      <c r="N13" s="506">
        <f>(T13*$O$13)/$V$13</f>
        <v>0</v>
      </c>
      <c r="O13" s="506">
        <f>'Dépenses BP 2017'!AD16</f>
        <v>0</v>
      </c>
      <c r="P13" s="508">
        <f>(T13*Q13)/V13</f>
        <v>0</v>
      </c>
      <c r="Q13" s="509">
        <f>'Dépenses BP 2017'!AG16</f>
        <v>0</v>
      </c>
      <c r="R13" s="511">
        <f>(T13*S13)/V13</f>
        <v>0</v>
      </c>
      <c r="S13" s="512">
        <v>0</v>
      </c>
      <c r="T13" s="501">
        <f>'Dépenses BP 2017'!AQ16</f>
        <v>33671.540864192</v>
      </c>
      <c r="U13" s="501"/>
      <c r="V13" s="502">
        <f>'Dépenses BP 2017'!AR16</f>
        <v>0.77</v>
      </c>
      <c r="W13" s="54"/>
      <c r="X13" s="520">
        <f>(Y13*T13)/V13</f>
        <v>655.9391077439999</v>
      </c>
      <c r="Y13" s="520">
        <v>1.4999999999999999E-2</v>
      </c>
      <c r="Z13" s="520">
        <f>(AA13*T13)/V13</f>
        <v>349.83419079680004</v>
      </c>
      <c r="AA13" s="520">
        <v>8.0000000000000002E-3</v>
      </c>
      <c r="AB13" s="518">
        <f>(AC13*T13)/V13</f>
        <v>0</v>
      </c>
      <c r="AC13" s="590">
        <v>0</v>
      </c>
      <c r="AD13" s="596"/>
      <c r="AE13" s="596"/>
      <c r="AF13" s="54"/>
      <c r="AH13">
        <v>1.6486899100000001E-2</v>
      </c>
      <c r="AN13" s="212"/>
      <c r="AO13" s="205"/>
      <c r="AQ13" s="220"/>
      <c r="AR13" s="61"/>
      <c r="AS13" s="61"/>
      <c r="AT13" s="61"/>
      <c r="AU13" s="220"/>
      <c r="AV13" s="61"/>
      <c r="AW13" s="61"/>
      <c r="AX13" s="61"/>
      <c r="AY13" s="61"/>
      <c r="AZ13" s="61"/>
      <c r="BA13" s="61"/>
      <c r="BB13" s="58"/>
      <c r="BC13" s="211"/>
      <c r="BD13" s="78"/>
      <c r="BE13" s="78"/>
      <c r="BF13" s="78"/>
      <c r="BG13" s="211"/>
      <c r="BH13" s="82">
        <f>'Dépenses BP 2017'!T16</f>
        <v>10057.732985408</v>
      </c>
      <c r="BI13" s="82"/>
      <c r="BJ13" s="82">
        <f>'Dépenses BP 2017'!V16</f>
        <v>0</v>
      </c>
    </row>
    <row r="14" spans="1:62">
      <c r="A14" s="1584"/>
      <c r="B14" s="489">
        <f>($C$13*T14)/$V$13</f>
        <v>212.06526764783308</v>
      </c>
      <c r="C14" s="490"/>
      <c r="D14" s="489">
        <f>(T14*$E$13)/$V$13</f>
        <v>424.13053529566616</v>
      </c>
      <c r="E14" s="489"/>
      <c r="F14" s="489">
        <f>(T14*$G$13)/$V$13</f>
        <v>805.84801706176563</v>
      </c>
      <c r="G14" s="489"/>
      <c r="H14" s="491"/>
      <c r="I14" s="491"/>
      <c r="J14" s="489">
        <f>(T14*$K$13)/$V$13</f>
        <v>148.44568735348315</v>
      </c>
      <c r="K14" s="489"/>
      <c r="L14" s="489">
        <f>($M$13*T14)/$V$13</f>
        <v>42.413053529566611</v>
      </c>
      <c r="M14" s="489"/>
      <c r="N14" s="506">
        <f>(T14*$O$13)/$V$13</f>
        <v>0</v>
      </c>
      <c r="O14" s="506"/>
      <c r="P14" s="508">
        <f>(T14*$Q$13)/$V$13</f>
        <v>0</v>
      </c>
      <c r="Q14" s="509"/>
      <c r="R14" s="511">
        <f>(T14*$S$13)/$V$13</f>
        <v>0</v>
      </c>
      <c r="S14" s="512"/>
      <c r="T14" s="501">
        <f>'Dépenses BP 2017'!AQ17</f>
        <v>1632.9025608883146</v>
      </c>
      <c r="U14" s="501"/>
      <c r="V14" s="502"/>
      <c r="W14" s="54"/>
      <c r="X14" s="520">
        <f>($Y$13*T14)/$V$13</f>
        <v>31.809790147174958</v>
      </c>
      <c r="Y14" s="520"/>
      <c r="Z14" s="520">
        <f>($AA$13*T14)/$V$13</f>
        <v>16.965221411826644</v>
      </c>
      <c r="AA14" s="520"/>
      <c r="AB14" s="518">
        <f>($AC$13*T14)/$V$13</f>
        <v>0</v>
      </c>
      <c r="AC14" s="590"/>
      <c r="AD14" s="596"/>
      <c r="AE14" s="596"/>
      <c r="AF14" s="54"/>
      <c r="AN14" s="212"/>
      <c r="AO14" s="205"/>
      <c r="AQ14" s="220"/>
      <c r="AR14" s="61"/>
      <c r="AS14" s="61"/>
      <c r="AT14" s="61"/>
      <c r="AU14" s="220"/>
      <c r="AV14" s="61"/>
      <c r="AW14" s="61"/>
      <c r="AX14" s="61"/>
      <c r="AY14" s="61"/>
      <c r="AZ14" s="61"/>
      <c r="BA14" s="61"/>
      <c r="BB14" s="58"/>
      <c r="BC14" s="211"/>
      <c r="BD14" s="78"/>
      <c r="BE14" s="78"/>
      <c r="BF14" s="78"/>
      <c r="BG14" s="211"/>
      <c r="BH14" s="82"/>
      <c r="BI14" s="82"/>
      <c r="BJ14" s="82"/>
    </row>
    <row r="15" spans="1:62">
      <c r="A15" s="1584"/>
      <c r="B15" s="489">
        <f>($C$13*T15)/$V$13</f>
        <v>108.27911688311688</v>
      </c>
      <c r="C15" s="490"/>
      <c r="D15" s="489">
        <f>(T15*$E$13)/$V$13</f>
        <v>216.55823376623377</v>
      </c>
      <c r="E15" s="489"/>
      <c r="F15" s="489">
        <f>(T15*$G$13)/$V$13</f>
        <v>411.46064415584419</v>
      </c>
      <c r="G15" s="489"/>
      <c r="H15" s="491"/>
      <c r="I15" s="491"/>
      <c r="J15" s="489">
        <f>(T15*$K$13)/$V$13</f>
        <v>75.795381818181824</v>
      </c>
      <c r="K15" s="489"/>
      <c r="L15" s="489">
        <f>($M$13*T15)/$V$13</f>
        <v>21.655823376623374</v>
      </c>
      <c r="M15" s="489"/>
      <c r="N15" s="506">
        <f>(T15*$O$13)/$V$13</f>
        <v>0</v>
      </c>
      <c r="O15" s="506"/>
      <c r="P15" s="508">
        <f>(T15*$Q$13)/$V$13</f>
        <v>0</v>
      </c>
      <c r="Q15" s="509"/>
      <c r="R15" s="511">
        <f>(T15*$S$7)/$V$7</f>
        <v>0</v>
      </c>
      <c r="S15" s="512"/>
      <c r="T15" s="501">
        <f>'Dépenses BP 2017'!AQ18</f>
        <v>833.74919999999997</v>
      </c>
      <c r="U15" s="501"/>
      <c r="V15" s="502"/>
      <c r="W15" s="54"/>
      <c r="X15" s="520">
        <f>($Y$13*T15)/$V$13</f>
        <v>16.241867532467531</v>
      </c>
      <c r="Y15" s="520"/>
      <c r="Z15" s="520">
        <f>($AA$13*T15)/$V$13</f>
        <v>8.6623293506493493</v>
      </c>
      <c r="AA15" s="520"/>
      <c r="AB15" s="518">
        <f>($AC$13*T15)/$V$13</f>
        <v>0</v>
      </c>
      <c r="AC15" s="590"/>
      <c r="AD15" s="596"/>
      <c r="AE15" s="596"/>
      <c r="AF15" s="54"/>
      <c r="AN15" s="212"/>
      <c r="AO15" s="205"/>
      <c r="AQ15" s="220"/>
      <c r="AR15" s="61"/>
      <c r="AS15" s="61"/>
      <c r="AT15" s="61"/>
      <c r="AU15" s="220"/>
      <c r="AV15" s="61"/>
      <c r="AW15" s="61"/>
      <c r="AX15" s="61"/>
      <c r="AY15" s="61"/>
      <c r="AZ15" s="61"/>
      <c r="BA15" s="61"/>
      <c r="BB15" s="58"/>
      <c r="BC15" s="211"/>
      <c r="BD15" s="78"/>
      <c r="BE15" s="78"/>
      <c r="BF15" s="78"/>
      <c r="BG15" s="211"/>
      <c r="BH15" s="82"/>
      <c r="BI15" s="82"/>
      <c r="BJ15" s="82"/>
    </row>
    <row r="16" spans="1:62">
      <c r="A16" s="1584" t="str">
        <f>'Dépenses BP 2017'!A19</f>
        <v>XX</v>
      </c>
      <c r="B16" s="489">
        <f>(C16*T16)/V16</f>
        <v>2238.786565894</v>
      </c>
      <c r="C16" s="490">
        <v>0.05</v>
      </c>
      <c r="D16" s="489">
        <f>(T16*E16)/V16</f>
        <v>2238.786565894</v>
      </c>
      <c r="E16" s="489">
        <v>0.05</v>
      </c>
      <c r="F16" s="489">
        <f>(T16*G16)/V16</f>
        <v>3411.9375918612463</v>
      </c>
      <c r="G16" s="489">
        <f>V16-C16-E16-K16-M16-O16-Q16-S16</f>
        <v>7.6200599999999993E-2</v>
      </c>
      <c r="H16" s="491"/>
      <c r="I16" s="491"/>
      <c r="J16" s="489">
        <f>(T16*K16)/V16</f>
        <v>4477.573131788</v>
      </c>
      <c r="K16" s="489">
        <v>0.1</v>
      </c>
      <c r="L16" s="489">
        <f>(M16*T16)/V16</f>
        <v>895.51462635760004</v>
      </c>
      <c r="M16" s="489">
        <v>0.02</v>
      </c>
      <c r="N16" s="506">
        <f>(T16*$O$16)/$V$16</f>
        <v>0</v>
      </c>
      <c r="O16" s="506">
        <f>'Dépenses BP 2017'!AD19</f>
        <v>0</v>
      </c>
      <c r="P16" s="508">
        <f>(T16*Q16)/V16</f>
        <v>2238.786565894</v>
      </c>
      <c r="Q16" s="509">
        <f>'Dépenses BP 2017'!AG19</f>
        <v>0.05</v>
      </c>
      <c r="R16" s="511">
        <f>(T16*S16)/V16</f>
        <v>0</v>
      </c>
      <c r="S16" s="511">
        <v>0</v>
      </c>
      <c r="T16" s="501">
        <f>'Dépenses BP 2017'!AQ19</f>
        <v>15501.385047688844</v>
      </c>
      <c r="U16" s="501"/>
      <c r="V16" s="502">
        <f>'Dépenses BP 2017'!AR19</f>
        <v>0.34620059999999997</v>
      </c>
      <c r="W16" s="54"/>
      <c r="X16" s="520">
        <f>(Y16*T16)/V16</f>
        <v>2462.6652224833997</v>
      </c>
      <c r="Y16" s="520">
        <v>5.5E-2</v>
      </c>
      <c r="Z16" s="520">
        <f>(AA16*T16)/V16</f>
        <v>358.20585054303996</v>
      </c>
      <c r="AA16" s="520">
        <v>8.0000000000000002E-3</v>
      </c>
      <c r="AB16" s="518">
        <f>(AC16*T16)/V16</f>
        <v>0</v>
      </c>
      <c r="AC16" s="590">
        <v>0</v>
      </c>
      <c r="AD16" s="596"/>
      <c r="AE16" s="596"/>
      <c r="AF16" s="54"/>
      <c r="AH16">
        <v>1.6486899100000001E-2</v>
      </c>
      <c r="AN16" s="212"/>
      <c r="AO16" s="205"/>
      <c r="AQ16" s="220"/>
      <c r="AR16" s="61"/>
      <c r="AS16" s="61"/>
      <c r="AT16" s="61"/>
      <c r="AU16" s="220"/>
      <c r="AV16" s="61"/>
      <c r="AW16" s="61"/>
      <c r="AX16" s="61"/>
      <c r="AY16" s="61"/>
      <c r="AZ16" s="61"/>
      <c r="BA16" s="61"/>
      <c r="BB16" s="58"/>
      <c r="BC16" s="211"/>
      <c r="BD16" s="78">
        <f>'Dépenses BP 2017'!Q19</f>
        <v>29274.346270191152</v>
      </c>
      <c r="BE16" s="78"/>
      <c r="BF16" s="78">
        <f>'Dépenses BP 2017'!S19</f>
        <v>0.65379940000000003</v>
      </c>
      <c r="BG16" s="211"/>
      <c r="BH16" s="82">
        <f>'Dépenses BP 2017'!T19</f>
        <v>29274.346270191152</v>
      </c>
      <c r="BI16" s="82"/>
      <c r="BJ16" s="82">
        <f>'Dépenses BP 2017'!V19</f>
        <v>0</v>
      </c>
    </row>
    <row r="17" spans="1:62">
      <c r="A17" s="1584"/>
      <c r="B17" s="489">
        <f>($C$16*T17)/$V$16</f>
        <v>240.9068163820325</v>
      </c>
      <c r="C17" s="490"/>
      <c r="D17" s="489">
        <f>(T17*$E$16)/$V$16</f>
        <v>240.9068163820325</v>
      </c>
      <c r="E17" s="489"/>
      <c r="F17" s="489">
        <f>(T17*$G$16)/$V$16</f>
        <v>367.1448790480141</v>
      </c>
      <c r="G17" s="489"/>
      <c r="H17" s="491"/>
      <c r="I17" s="491"/>
      <c r="J17" s="489">
        <f>(T17*$K$16)/$V$16</f>
        <v>481.81363276406501</v>
      </c>
      <c r="K17" s="489"/>
      <c r="L17" s="489">
        <f>($M$16*T17)/$V$16</f>
        <v>96.362726552813001</v>
      </c>
      <c r="M17" s="489"/>
      <c r="N17" s="506">
        <f>(T17*$O$16)/$V$16</f>
        <v>0</v>
      </c>
      <c r="O17" s="506"/>
      <c r="P17" s="508">
        <f>(T17*$Q$16)/$V$16</f>
        <v>240.9068163820325</v>
      </c>
      <c r="Q17" s="509"/>
      <c r="R17" s="511">
        <f>(T17*$S$16)/$V$16</f>
        <v>0</v>
      </c>
      <c r="S17" s="511"/>
      <c r="T17" s="501">
        <f>'Dépenses BP 2017'!AQ20</f>
        <v>1668.0416875109895</v>
      </c>
      <c r="U17" s="501"/>
      <c r="V17" s="502"/>
      <c r="W17" s="54"/>
      <c r="X17" s="520">
        <f>($Y$16*T17)/$V$16</f>
        <v>264.99749802023575</v>
      </c>
      <c r="Y17" s="520"/>
      <c r="Z17" s="520">
        <f>($AA$16*T17)/$V$16</f>
        <v>38.545090621125205</v>
      </c>
      <c r="AA17" s="520"/>
      <c r="AB17" s="518">
        <f>($AC$16*T17)/$V$16</f>
        <v>0</v>
      </c>
      <c r="AC17" s="590"/>
      <c r="AD17" s="596"/>
      <c r="AE17" s="596"/>
      <c r="AF17" s="54"/>
      <c r="AN17" s="212"/>
      <c r="AO17" s="205"/>
      <c r="AQ17" s="220"/>
      <c r="AR17" s="61"/>
      <c r="AS17" s="61"/>
      <c r="AT17" s="61"/>
      <c r="AU17" s="220"/>
      <c r="AV17" s="61"/>
      <c r="AW17" s="61"/>
      <c r="AX17" s="61"/>
      <c r="AY17" s="61"/>
      <c r="AZ17" s="61"/>
      <c r="BA17" s="61"/>
      <c r="BB17" s="58"/>
      <c r="BC17" s="211"/>
      <c r="BD17" s="78"/>
      <c r="BE17" s="78"/>
      <c r="BF17" s="78"/>
      <c r="BG17" s="211"/>
      <c r="BH17" s="82"/>
      <c r="BI17" s="82"/>
      <c r="BJ17" s="82"/>
    </row>
    <row r="18" spans="1:62">
      <c r="A18" s="1584"/>
      <c r="B18" s="489">
        <f>($C$16*T18)/$V$16</f>
        <v>123.77115464271294</v>
      </c>
      <c r="C18" s="490"/>
      <c r="D18" s="489">
        <f>(T18*$E$16)/$V$16</f>
        <v>123.77115464271294</v>
      </c>
      <c r="E18" s="489"/>
      <c r="F18" s="489">
        <f>(T18*$G$16)/$V$16</f>
        <v>188.62872492935023</v>
      </c>
      <c r="G18" s="489"/>
      <c r="H18" s="491"/>
      <c r="I18" s="491"/>
      <c r="J18" s="489">
        <f>(T18*$K$16)/$V$16</f>
        <v>247.54230928542589</v>
      </c>
      <c r="K18" s="489"/>
      <c r="L18" s="489">
        <f>($M$16*T18)/$V$16</f>
        <v>49.508461857085173</v>
      </c>
      <c r="M18" s="489"/>
      <c r="N18" s="506">
        <f>(T18*$O$16)/$V$16</f>
        <v>0</v>
      </c>
      <c r="O18" s="506"/>
      <c r="P18" s="508">
        <f>(T18*$Q$16)/$V$16</f>
        <v>123.77115464271294</v>
      </c>
      <c r="Q18" s="509"/>
      <c r="R18" s="511">
        <f>(T18*$S$16)/$V$16</f>
        <v>0</v>
      </c>
      <c r="S18" s="511"/>
      <c r="T18" s="501">
        <f>'Dépenses BP 2017'!AQ21</f>
        <v>856.99296000000004</v>
      </c>
      <c r="U18" s="501"/>
      <c r="V18" s="502"/>
      <c r="W18" s="54"/>
      <c r="X18" s="520">
        <f>($Y$16*T18)/$V$16</f>
        <v>136.14827010698423</v>
      </c>
      <c r="Y18" s="520"/>
      <c r="Z18" s="520">
        <f>($AA$16*T18)/$V$16</f>
        <v>19.803384742834069</v>
      </c>
      <c r="AA18" s="520"/>
      <c r="AB18" s="518">
        <f>($AC$16*T18)/$V$16</f>
        <v>0</v>
      </c>
      <c r="AC18" s="590"/>
      <c r="AD18" s="596"/>
      <c r="AE18" s="596"/>
      <c r="AF18" s="54"/>
      <c r="AN18" s="212"/>
      <c r="AO18" s="205"/>
      <c r="AQ18" s="220"/>
      <c r="AR18" s="61"/>
      <c r="AS18" s="61"/>
      <c r="AT18" s="61"/>
      <c r="AU18" s="220"/>
      <c r="AV18" s="61"/>
      <c r="AW18" s="61"/>
      <c r="AX18" s="61"/>
      <c r="AY18" s="61"/>
      <c r="AZ18" s="61"/>
      <c r="BA18" s="61"/>
      <c r="BB18" s="58"/>
      <c r="BC18" s="211"/>
      <c r="BD18" s="78"/>
      <c r="BE18" s="78"/>
      <c r="BF18" s="78"/>
      <c r="BG18" s="211"/>
      <c r="BH18" s="82"/>
      <c r="BI18" s="82"/>
      <c r="BJ18" s="82"/>
    </row>
    <row r="19" spans="1:62">
      <c r="A19" s="1584" t="str">
        <f>'Dépenses BP 2017'!A22</f>
        <v>XX</v>
      </c>
      <c r="B19" s="489"/>
      <c r="C19" s="489"/>
      <c r="D19" s="489"/>
      <c r="E19" s="489"/>
      <c r="F19" s="489"/>
      <c r="G19" s="489"/>
      <c r="H19" s="491"/>
      <c r="I19" s="491"/>
      <c r="J19" s="489"/>
      <c r="K19" s="489"/>
      <c r="L19" s="489"/>
      <c r="M19" s="489"/>
      <c r="N19" s="506"/>
      <c r="O19" s="506"/>
      <c r="P19" s="508"/>
      <c r="Q19" s="509"/>
      <c r="R19" s="511"/>
      <c r="S19" s="511"/>
      <c r="T19" s="501"/>
      <c r="U19" s="501"/>
      <c r="V19" s="502"/>
      <c r="W19" s="54"/>
      <c r="X19" s="520"/>
      <c r="Y19" s="520"/>
      <c r="Z19" s="520"/>
      <c r="AA19" s="520"/>
      <c r="AB19" s="518"/>
      <c r="AC19" s="590"/>
      <c r="AD19" s="596"/>
      <c r="AE19" s="596"/>
      <c r="AF19" s="54"/>
      <c r="AN19" s="212"/>
      <c r="AO19" s="205"/>
      <c r="AQ19" s="220">
        <f>(AR19*AU19)/AV19</f>
        <v>8120.3603459615979</v>
      </c>
      <c r="AR19" s="61">
        <f>AV19</f>
        <v>0.19799999999999995</v>
      </c>
      <c r="AS19" s="61"/>
      <c r="AT19" s="61"/>
      <c r="AU19" s="220">
        <f>'Dépenses BP 2017'!B22</f>
        <v>8120.3603459615979</v>
      </c>
      <c r="AV19" s="61">
        <f>'Dépenses BP 2017'!D22</f>
        <v>0.19799999999999995</v>
      </c>
      <c r="AW19" s="61">
        <f>'Dépenses BP 2017'!E22</f>
        <v>0</v>
      </c>
      <c r="AX19" s="61">
        <f>'Dépenses BP 2017'!F22</f>
        <v>0</v>
      </c>
      <c r="AY19" s="61">
        <f>'Dépenses BP 2017'!G22</f>
        <v>8120.3603459615979</v>
      </c>
      <c r="AZ19" s="61"/>
      <c r="BA19" s="61">
        <f>'Dépenses BP 2017'!I22</f>
        <v>0.19799999999999995</v>
      </c>
      <c r="BB19" s="58"/>
      <c r="BC19" s="211"/>
      <c r="BD19" s="78"/>
      <c r="BE19" s="78"/>
      <c r="BF19" s="78"/>
      <c r="BG19" s="211"/>
      <c r="BH19" s="82">
        <f>'Dépenses BP 2017'!T22</f>
        <v>31193.12365840307</v>
      </c>
      <c r="BI19" s="82"/>
      <c r="BJ19" s="82">
        <f>'Dépenses BP 2017'!V22</f>
        <v>0</v>
      </c>
    </row>
    <row r="20" spans="1:62">
      <c r="A20" s="1584"/>
      <c r="B20" s="489"/>
      <c r="C20" s="489"/>
      <c r="D20" s="489"/>
      <c r="E20" s="489"/>
      <c r="F20" s="489"/>
      <c r="G20" s="489"/>
      <c r="H20" s="491"/>
      <c r="I20" s="491"/>
      <c r="J20" s="489"/>
      <c r="K20" s="489"/>
      <c r="L20" s="489"/>
      <c r="M20" s="489"/>
      <c r="N20" s="506"/>
      <c r="O20" s="506"/>
      <c r="P20" s="508"/>
      <c r="Q20" s="509"/>
      <c r="R20" s="511"/>
      <c r="S20" s="511"/>
      <c r="T20" s="501"/>
      <c r="U20" s="501"/>
      <c r="V20" s="502"/>
      <c r="W20" s="54"/>
      <c r="X20" s="520"/>
      <c r="Y20" s="520"/>
      <c r="Z20" s="520"/>
      <c r="AA20" s="520"/>
      <c r="AB20" s="518"/>
      <c r="AC20" s="590"/>
      <c r="AD20" s="596"/>
      <c r="AE20" s="596"/>
      <c r="AF20" s="54"/>
      <c r="AN20" s="212"/>
      <c r="AO20" s="205"/>
      <c r="AQ20" s="220"/>
      <c r="AR20" s="61"/>
      <c r="AS20" s="61"/>
      <c r="AT20" s="61"/>
      <c r="AU20" s="220"/>
      <c r="AV20" s="61"/>
      <c r="AW20" s="61"/>
      <c r="AX20" s="61"/>
      <c r="AY20" s="61"/>
      <c r="AZ20" s="61"/>
      <c r="BA20" s="61"/>
      <c r="BB20" s="58"/>
      <c r="BC20" s="211"/>
      <c r="BD20" s="78"/>
      <c r="BE20" s="78"/>
      <c r="BF20" s="78"/>
      <c r="BG20" s="211"/>
      <c r="BH20" s="82"/>
      <c r="BI20" s="82"/>
      <c r="BJ20" s="82"/>
    </row>
    <row r="21" spans="1:62">
      <c r="A21" s="1584"/>
      <c r="B21" s="489"/>
      <c r="C21" s="489"/>
      <c r="D21" s="489"/>
      <c r="E21" s="489"/>
      <c r="F21" s="489"/>
      <c r="G21" s="489"/>
      <c r="H21" s="491"/>
      <c r="I21" s="491"/>
      <c r="J21" s="489"/>
      <c r="K21" s="489"/>
      <c r="L21" s="489"/>
      <c r="M21" s="489"/>
      <c r="N21" s="506"/>
      <c r="O21" s="506"/>
      <c r="P21" s="508"/>
      <c r="Q21" s="509"/>
      <c r="R21" s="511"/>
      <c r="S21" s="511"/>
      <c r="T21" s="501"/>
      <c r="U21" s="501"/>
      <c r="V21" s="502"/>
      <c r="W21" s="54"/>
      <c r="X21" s="520"/>
      <c r="Y21" s="520"/>
      <c r="Z21" s="520"/>
      <c r="AA21" s="520"/>
      <c r="AB21" s="518"/>
      <c r="AC21" s="590"/>
      <c r="AD21" s="596"/>
      <c r="AE21" s="596"/>
      <c r="AF21" s="54"/>
      <c r="AN21" s="212"/>
      <c r="AO21" s="205"/>
      <c r="AQ21" s="220"/>
      <c r="AR21" s="61"/>
      <c r="AS21" s="61"/>
      <c r="AT21" s="61"/>
      <c r="AU21" s="220"/>
      <c r="AV21" s="61"/>
      <c r="AW21" s="61"/>
      <c r="AX21" s="61"/>
      <c r="AY21" s="61"/>
      <c r="AZ21" s="61"/>
      <c r="BA21" s="61"/>
      <c r="BB21" s="58"/>
      <c r="BC21" s="211"/>
      <c r="BD21" s="78"/>
      <c r="BE21" s="78"/>
      <c r="BF21" s="78"/>
      <c r="BG21" s="211"/>
      <c r="BH21" s="82"/>
      <c r="BI21" s="82"/>
      <c r="BJ21" s="82"/>
    </row>
    <row r="22" spans="1:62">
      <c r="A22" s="1584" t="str">
        <f>'Dépenses BP 2017'!A25</f>
        <v>XX</v>
      </c>
      <c r="B22" s="489"/>
      <c r="C22" s="489"/>
      <c r="D22" s="489"/>
      <c r="E22" s="489"/>
      <c r="F22" s="489"/>
      <c r="G22" s="489"/>
      <c r="H22" s="491"/>
      <c r="I22" s="491"/>
      <c r="J22" s="489">
        <f>(T22*K22)/V22</f>
        <v>4450.5832633680002</v>
      </c>
      <c r="K22" s="489">
        <v>0.15</v>
      </c>
      <c r="L22" s="489">
        <f>(M22*T22)/V22</f>
        <v>6824.2276704976002</v>
      </c>
      <c r="M22" s="489">
        <f>V22-K22</f>
        <v>0.23</v>
      </c>
      <c r="N22" s="506"/>
      <c r="O22" s="506"/>
      <c r="P22" s="508"/>
      <c r="Q22" s="509"/>
      <c r="R22" s="511"/>
      <c r="S22" s="511"/>
      <c r="T22" s="501">
        <f>'Dépenses BP 2017'!AQ25</f>
        <v>11274.8109338656</v>
      </c>
      <c r="U22" s="501"/>
      <c r="V22" s="502">
        <f>'Dépenses BP 2017'!AR25</f>
        <v>0.38</v>
      </c>
      <c r="W22" s="54"/>
      <c r="X22" s="520">
        <f>(Y22*T22)/V22</f>
        <v>445.05832633680001</v>
      </c>
      <c r="Y22" s="520">
        <v>1.4999999999999999E-2</v>
      </c>
      <c r="Z22" s="520">
        <f>(AA22*T22)/V22</f>
        <v>237.36444071296</v>
      </c>
      <c r="AA22" s="520">
        <v>8.0000000000000002E-3</v>
      </c>
      <c r="AB22" s="518">
        <f>(AC22*T22)/V22</f>
        <v>0</v>
      </c>
      <c r="AC22" s="590">
        <v>0</v>
      </c>
      <c r="AD22" s="596"/>
      <c r="AE22" s="596"/>
      <c r="AF22" s="54"/>
      <c r="AH22">
        <v>1.6486899100000001E-2</v>
      </c>
      <c r="AN22" s="212"/>
      <c r="AO22" s="205"/>
      <c r="AQ22" s="220"/>
      <c r="AR22" s="61"/>
      <c r="AS22" s="61"/>
      <c r="AT22" s="61"/>
      <c r="AU22" s="220"/>
      <c r="AV22" s="61"/>
      <c r="AW22" s="61"/>
      <c r="AX22" s="61"/>
      <c r="AY22" s="61"/>
      <c r="AZ22" s="61"/>
      <c r="BA22" s="61"/>
      <c r="BB22" s="58"/>
      <c r="BC22" s="211"/>
      <c r="BD22" s="78"/>
      <c r="BE22" s="78"/>
      <c r="BF22" s="78"/>
      <c r="BG22" s="211"/>
      <c r="BH22" s="82">
        <f>'Dépenses BP 2017'!T25</f>
        <v>18395.744155254397</v>
      </c>
      <c r="BI22" s="82"/>
      <c r="BJ22" s="82">
        <f>'Dépenses BP 2017'!V25</f>
        <v>0</v>
      </c>
    </row>
    <row r="23" spans="1:62">
      <c r="A23" s="1584"/>
      <c r="B23" s="489"/>
      <c r="C23" s="489"/>
      <c r="D23" s="489"/>
      <c r="E23" s="489"/>
      <c r="F23" s="489"/>
      <c r="G23" s="489"/>
      <c r="H23" s="491"/>
      <c r="I23" s="491"/>
      <c r="J23" s="489">
        <f>(T23*$K$22)/$V$22</f>
        <v>372.25713312238497</v>
      </c>
      <c r="K23" s="489"/>
      <c r="L23" s="489">
        <f>($M$22*T23)/$V$22</f>
        <v>570.79427078765696</v>
      </c>
      <c r="M23" s="489"/>
      <c r="N23" s="506"/>
      <c r="O23" s="506"/>
      <c r="P23" s="508"/>
      <c r="Q23" s="509"/>
      <c r="R23" s="511"/>
      <c r="S23" s="511"/>
      <c r="T23" s="501">
        <f>'Dépenses BP 2017'!AQ26</f>
        <v>943.05140391004193</v>
      </c>
      <c r="U23" s="501"/>
      <c r="V23" s="502"/>
      <c r="W23" s="54"/>
      <c r="X23" s="520">
        <f>($Y$22*T23)/$V$22</f>
        <v>37.225713312238497</v>
      </c>
      <c r="Y23" s="520"/>
      <c r="Z23" s="520">
        <f>($AA$22*T23)/$V$22</f>
        <v>19.8537137665272</v>
      </c>
      <c r="AA23" s="520"/>
      <c r="AB23" s="518">
        <f>($AC$22*T23)/$V$22</f>
        <v>0</v>
      </c>
      <c r="AC23" s="590"/>
      <c r="AD23" s="596"/>
      <c r="AE23" s="596"/>
      <c r="AF23" s="54"/>
      <c r="AN23" s="212"/>
      <c r="AO23" s="205"/>
      <c r="AQ23" s="220"/>
      <c r="AR23" s="61"/>
      <c r="AS23" s="61"/>
      <c r="AT23" s="61"/>
      <c r="AU23" s="220"/>
      <c r="AV23" s="61"/>
      <c r="AW23" s="61"/>
      <c r="AX23" s="61"/>
      <c r="AY23" s="61"/>
      <c r="AZ23" s="61"/>
      <c r="BA23" s="61"/>
      <c r="BB23" s="58"/>
      <c r="BC23" s="211"/>
      <c r="BD23" s="78"/>
      <c r="BE23" s="78"/>
      <c r="BF23" s="78"/>
      <c r="BG23" s="211"/>
      <c r="BH23" s="82"/>
      <c r="BI23" s="82"/>
      <c r="BJ23" s="82"/>
    </row>
    <row r="24" spans="1:62">
      <c r="A24" s="1584"/>
      <c r="B24" s="489"/>
      <c r="C24" s="489"/>
      <c r="D24" s="489"/>
      <c r="E24" s="489"/>
      <c r="F24" s="489"/>
      <c r="G24" s="489"/>
      <c r="H24" s="491"/>
      <c r="I24" s="491"/>
      <c r="J24" s="489">
        <f>(T24*$K$22)/$V$22</f>
        <v>245.96289473684209</v>
      </c>
      <c r="K24" s="489"/>
      <c r="L24" s="489">
        <f>($M$22*T24)/$V$22</f>
        <v>377.14310526315791</v>
      </c>
      <c r="M24" s="489"/>
      <c r="N24" s="506"/>
      <c r="O24" s="506"/>
      <c r="P24" s="508"/>
      <c r="Q24" s="509"/>
      <c r="R24" s="511"/>
      <c r="S24" s="511"/>
      <c r="T24" s="501">
        <f>'Dépenses BP 2017'!AQ27</f>
        <v>623.10599999999999</v>
      </c>
      <c r="U24" s="501"/>
      <c r="V24" s="502"/>
      <c r="W24" s="54"/>
      <c r="X24" s="520">
        <f>($Y$22*T24)/$V$22</f>
        <v>24.596289473684209</v>
      </c>
      <c r="Y24" s="520"/>
      <c r="Z24" s="520">
        <f>($AA$22*T24)/$V$22</f>
        <v>13.11802105263158</v>
      </c>
      <c r="AA24" s="520"/>
      <c r="AB24" s="518">
        <f>($AC$22*T24)/$V$22</f>
        <v>0</v>
      </c>
      <c r="AC24" s="590"/>
      <c r="AD24" s="596"/>
      <c r="AE24" s="596"/>
      <c r="AF24" s="54"/>
      <c r="AN24" s="212"/>
      <c r="AO24" s="205"/>
      <c r="AQ24" s="220"/>
      <c r="AR24" s="61"/>
      <c r="AS24" s="61"/>
      <c r="AT24" s="61"/>
      <c r="AU24" s="220"/>
      <c r="AV24" s="61"/>
      <c r="AW24" s="61"/>
      <c r="AX24" s="61"/>
      <c r="AY24" s="61"/>
      <c r="AZ24" s="61"/>
      <c r="BA24" s="61"/>
      <c r="BB24" s="58"/>
      <c r="BC24" s="211"/>
      <c r="BD24" s="78"/>
      <c r="BE24" s="78"/>
      <c r="BF24" s="78"/>
      <c r="BG24" s="211"/>
      <c r="BH24" s="82"/>
      <c r="BI24" s="82"/>
      <c r="BJ24" s="82"/>
    </row>
    <row r="25" spans="1:62">
      <c r="A25" s="1584" t="str">
        <f>'Dépenses BP 2017'!A28</f>
        <v>XX</v>
      </c>
      <c r="B25" s="489">
        <f>(C25*T25)/V25</f>
        <v>6503.8436814719989</v>
      </c>
      <c r="C25" s="489">
        <v>0.15</v>
      </c>
      <c r="D25" s="489">
        <f>(T25*E25)/V25</f>
        <v>25581.785147123195</v>
      </c>
      <c r="E25" s="489">
        <v>0.59</v>
      </c>
      <c r="F25" s="489">
        <f>(T25*G25)/V25</f>
        <v>-26448.964304652796</v>
      </c>
      <c r="G25" s="489">
        <f>V25-C25-E25-K25-M25-O25-Q25-S25</f>
        <v>-0.61</v>
      </c>
      <c r="H25" s="492"/>
      <c r="I25" s="492"/>
      <c r="J25" s="489"/>
      <c r="K25" s="489"/>
      <c r="L25" s="489"/>
      <c r="M25" s="489"/>
      <c r="N25" s="506">
        <f>(T25*$O$25)/$V$25</f>
        <v>37722.293352537599</v>
      </c>
      <c r="O25" s="506">
        <f>'Dépenses BP 2017'!AD28</f>
        <v>0.87</v>
      </c>
      <c r="P25" s="508">
        <f>(T25*Q25)/V25</f>
        <v>0</v>
      </c>
      <c r="Q25" s="509">
        <f>'Dépenses BP 2017'!AG28</f>
        <v>0</v>
      </c>
      <c r="R25" s="511">
        <f>(T25*$S$25)/$V$25</f>
        <v>0</v>
      </c>
      <c r="S25" s="511">
        <v>0</v>
      </c>
      <c r="T25" s="501">
        <f>'Dépenses BP 2017'!AQ28</f>
        <v>43358.957876479995</v>
      </c>
      <c r="U25" s="501"/>
      <c r="V25" s="502">
        <f>'Dépenses BP 2017'!AR28</f>
        <v>1</v>
      </c>
      <c r="W25" s="54"/>
      <c r="X25" s="520">
        <f>(Y25*T25)/V25</f>
        <v>650.38436814719989</v>
      </c>
      <c r="Y25" s="520">
        <v>1.4999999999999999E-2</v>
      </c>
      <c r="Z25" s="520">
        <f>(AA25*T25)/V25</f>
        <v>346.87166301183998</v>
      </c>
      <c r="AA25" s="520">
        <v>8.0000000000000002E-3</v>
      </c>
      <c r="AB25" s="518">
        <f>(AC25*T25)/V25</f>
        <v>1430.8456099238399</v>
      </c>
      <c r="AC25" s="590">
        <v>3.3000000000000002E-2</v>
      </c>
      <c r="AD25" s="596"/>
      <c r="AE25" s="596"/>
      <c r="AF25" s="54"/>
      <c r="AH25">
        <v>1.6486899100000001E-2</v>
      </c>
      <c r="AN25" s="212"/>
      <c r="AO25" s="205"/>
      <c r="AQ25" s="220"/>
      <c r="AR25" s="61"/>
      <c r="AS25" s="61"/>
      <c r="AT25" s="61"/>
      <c r="AU25" s="220"/>
      <c r="AV25" s="61"/>
      <c r="AW25" s="61"/>
      <c r="AX25" s="61"/>
      <c r="AY25" s="61"/>
      <c r="AZ25" s="61"/>
      <c r="BA25" s="61"/>
      <c r="BB25" s="58"/>
      <c r="BC25" s="211"/>
      <c r="BD25" s="78"/>
      <c r="BE25" s="78"/>
      <c r="BF25" s="78"/>
      <c r="BG25" s="211"/>
      <c r="BH25" s="82"/>
      <c r="BI25" s="82"/>
      <c r="BJ25" s="82"/>
    </row>
    <row r="26" spans="1:62">
      <c r="A26" s="1584"/>
      <c r="B26" s="489">
        <f>($C$25*T26)/$V$25</f>
        <v>230.78693411531717</v>
      </c>
      <c r="C26" s="490"/>
      <c r="D26" s="489">
        <f>(T26*$E$25)/$V$25</f>
        <v>907.76194085358088</v>
      </c>
      <c r="E26" s="489"/>
      <c r="F26" s="489">
        <f>(T26*$G$25)/$V$25</f>
        <v>-938.53353206895656</v>
      </c>
      <c r="G26" s="489"/>
      <c r="H26" s="491"/>
      <c r="I26" s="491"/>
      <c r="J26" s="489"/>
      <c r="K26" s="489"/>
      <c r="L26" s="489"/>
      <c r="M26" s="489"/>
      <c r="N26" s="506">
        <f>(T26*$O$25)/$V$25</f>
        <v>1338.5642178688397</v>
      </c>
      <c r="O26" s="506"/>
      <c r="P26" s="508">
        <f>(T26*$Q$25)/$V$25</f>
        <v>0</v>
      </c>
      <c r="Q26" s="509"/>
      <c r="R26" s="511">
        <f>(T26*$S$25)/$V$25</f>
        <v>0</v>
      </c>
      <c r="S26" s="511"/>
      <c r="T26" s="501">
        <f>'Dépenses BP 2017'!AQ29</f>
        <v>1538.5795607687812</v>
      </c>
      <c r="U26" s="501"/>
      <c r="V26" s="502"/>
      <c r="W26" s="54"/>
      <c r="X26" s="520">
        <f>($Y$25*T26)/$V$25</f>
        <v>23.078693411531717</v>
      </c>
      <c r="Y26" s="520"/>
      <c r="Z26" s="520">
        <f>($AA$25*T26)/$V$25</f>
        <v>12.308636486150251</v>
      </c>
      <c r="AA26" s="520"/>
      <c r="AB26" s="518">
        <f>($AC$25*T26)/$V$25</f>
        <v>50.773125505369784</v>
      </c>
      <c r="AC26" s="590"/>
      <c r="AD26" s="596"/>
      <c r="AE26" s="596"/>
      <c r="AF26" s="54"/>
      <c r="AN26" s="212"/>
      <c r="AO26" s="205"/>
      <c r="AQ26" s="220"/>
      <c r="AR26" s="61"/>
      <c r="AS26" s="61"/>
      <c r="AT26" s="61"/>
      <c r="AU26" s="220"/>
      <c r="AV26" s="61"/>
      <c r="AW26" s="61"/>
      <c r="AX26" s="61"/>
      <c r="AY26" s="61"/>
      <c r="AZ26" s="61"/>
      <c r="BA26" s="61"/>
      <c r="BB26" s="58"/>
      <c r="BC26" s="211"/>
      <c r="BD26" s="78"/>
      <c r="BE26" s="78"/>
      <c r="BF26" s="78"/>
      <c r="BG26" s="211"/>
      <c r="BH26" s="82"/>
      <c r="BI26" s="82"/>
      <c r="BJ26" s="82"/>
    </row>
    <row r="27" spans="1:62">
      <c r="A27" s="1584"/>
      <c r="B27" s="489">
        <f>($C$25*T27)/$V$25</f>
        <v>124.07774399999998</v>
      </c>
      <c r="C27" s="490"/>
      <c r="D27" s="489">
        <f>(T27*$E$25)/$V$25</f>
        <v>488.03912639999993</v>
      </c>
      <c r="E27" s="489"/>
      <c r="F27" s="489">
        <f>(T27*$G$25)/$V$25</f>
        <v>-504.58282559999992</v>
      </c>
      <c r="G27" s="489"/>
      <c r="H27" s="491"/>
      <c r="I27" s="491"/>
      <c r="J27" s="489"/>
      <c r="K27" s="489"/>
      <c r="L27" s="489"/>
      <c r="M27" s="489"/>
      <c r="N27" s="506">
        <f>(T27*$O$25)/$V$25</f>
        <v>719.65091519999999</v>
      </c>
      <c r="O27" s="506"/>
      <c r="P27" s="508">
        <f>(T27*$Q$25)/$V$25</f>
        <v>0</v>
      </c>
      <c r="Q27" s="509"/>
      <c r="R27" s="511">
        <f>(T27*$S$25)/$V$25</f>
        <v>0</v>
      </c>
      <c r="S27" s="511"/>
      <c r="T27" s="501">
        <f>'Dépenses BP 2017'!AQ30</f>
        <v>827.18495999999993</v>
      </c>
      <c r="U27" s="501"/>
      <c r="V27" s="502"/>
      <c r="W27" s="54"/>
      <c r="X27" s="520">
        <f>($Y$25*T27)/$V$25</f>
        <v>12.407774399999999</v>
      </c>
      <c r="Y27" s="520"/>
      <c r="Z27" s="520">
        <f>($AA$25*T27)/$V$25</f>
        <v>6.6174796799999998</v>
      </c>
      <c r="AA27" s="520"/>
      <c r="AB27" s="518">
        <f>($AC$25*T27)/$V$25</f>
        <v>27.297103679999999</v>
      </c>
      <c r="AC27" s="590"/>
      <c r="AD27" s="596"/>
      <c r="AE27" s="596"/>
      <c r="AF27" s="54"/>
      <c r="AN27" s="212"/>
      <c r="AO27" s="205"/>
      <c r="AQ27" s="220"/>
      <c r="AR27" s="61"/>
      <c r="AS27" s="61"/>
      <c r="AT27" s="61"/>
      <c r="AU27" s="220"/>
      <c r="AV27" s="61"/>
      <c r="AW27" s="61"/>
      <c r="AX27" s="61"/>
      <c r="AY27" s="61"/>
      <c r="AZ27" s="61"/>
      <c r="BA27" s="61"/>
      <c r="BB27" s="58"/>
      <c r="BC27" s="211"/>
      <c r="BD27" s="78"/>
      <c r="BE27" s="78"/>
      <c r="BF27" s="78"/>
      <c r="BG27" s="211"/>
      <c r="BH27" s="82"/>
      <c r="BI27" s="82"/>
      <c r="BJ27" s="82"/>
    </row>
    <row r="28" spans="1:62">
      <c r="A28" s="1584" t="str">
        <f>'Dépenses BP 2017'!A31</f>
        <v>XX</v>
      </c>
      <c r="B28" s="489">
        <f>(C28*T28)/V28</f>
        <v>4440.2711620227647</v>
      </c>
      <c r="C28" s="489">
        <v>0.1</v>
      </c>
      <c r="D28" s="489">
        <f>(T28*E28)/V28</f>
        <v>12876.786369866017</v>
      </c>
      <c r="E28" s="489">
        <v>0.28999999999999998</v>
      </c>
      <c r="F28" s="489">
        <f>(T28*G28)/V28</f>
        <v>18205.111764293339</v>
      </c>
      <c r="G28" s="489">
        <f>V28-C28-E28-K28-M28-O28-Q28-S28</f>
        <v>0.41000000000000009</v>
      </c>
      <c r="H28" s="492"/>
      <c r="I28" s="492"/>
      <c r="J28" s="489"/>
      <c r="K28" s="489"/>
      <c r="L28" s="489"/>
      <c r="M28" s="489"/>
      <c r="N28" s="506">
        <f>(T28*O28)/V28</f>
        <v>0</v>
      </c>
      <c r="O28" s="506">
        <f>'Dépenses BP 2017'!AD31</f>
        <v>0</v>
      </c>
      <c r="P28" s="508">
        <f>(T28*Q28)/V28</f>
        <v>0</v>
      </c>
      <c r="Q28" s="509">
        <f>'Dépenses BP 2017'!AG31</f>
        <v>0</v>
      </c>
      <c r="R28" s="511">
        <f>(T28*S28)/V28</f>
        <v>0</v>
      </c>
      <c r="S28" s="511">
        <v>0</v>
      </c>
      <c r="T28" s="501">
        <f>'Dépenses BP 2017'!AQ31</f>
        <v>35522.169296182117</v>
      </c>
      <c r="U28" s="501"/>
      <c r="V28" s="502">
        <f>'Dépenses BP 2017'!AR31</f>
        <v>0.8</v>
      </c>
      <c r="W28" s="54"/>
      <c r="X28" s="520">
        <f>(Y28*T28)/V28</f>
        <v>666.04067430341468</v>
      </c>
      <c r="Y28" s="520">
        <v>1.4999999999999999E-2</v>
      </c>
      <c r="Z28" s="520">
        <f>(AA28*T28)/V28</f>
        <v>355.22169296182119</v>
      </c>
      <c r="AA28" s="520">
        <v>8.0000000000000002E-3</v>
      </c>
      <c r="AB28" s="518">
        <f>(AC28*T28)/V28</f>
        <v>1465.2894834675124</v>
      </c>
      <c r="AC28" s="590">
        <v>3.3000000000000002E-2</v>
      </c>
      <c r="AD28" s="596"/>
      <c r="AE28" s="596"/>
      <c r="AF28" s="54"/>
      <c r="AH28">
        <v>1.6486899100000001E-2</v>
      </c>
      <c r="AN28" s="212"/>
      <c r="AO28" s="205"/>
      <c r="AQ28" s="220"/>
      <c r="AR28" s="61"/>
      <c r="AS28" s="61"/>
      <c r="AT28" s="61"/>
      <c r="AU28" s="220"/>
      <c r="AV28" s="61"/>
      <c r="AW28" s="61"/>
      <c r="AX28" s="61"/>
      <c r="AY28" s="61"/>
      <c r="AZ28" s="61"/>
      <c r="BA28" s="61"/>
      <c r="BB28" s="58"/>
      <c r="BC28" s="211"/>
      <c r="BD28" s="78"/>
      <c r="BE28" s="78"/>
      <c r="BF28" s="78"/>
      <c r="BG28" s="211"/>
      <c r="BH28" s="82"/>
      <c r="BI28" s="82"/>
      <c r="BJ28" s="82"/>
    </row>
    <row r="29" spans="1:62">
      <c r="A29" s="1584"/>
      <c r="B29" s="489">
        <f>($C$28*T29)/$V$28</f>
        <v>136.98450004436708</v>
      </c>
      <c r="C29" s="490"/>
      <c r="D29" s="489">
        <f>(T29*$E$28)/$V$28</f>
        <v>397.25505012866449</v>
      </c>
      <c r="E29" s="489"/>
      <c r="F29" s="489">
        <f>(T29*$G$28)/$V$28</f>
        <v>561.63645018190516</v>
      </c>
      <c r="G29" s="489"/>
      <c r="H29" s="491"/>
      <c r="I29" s="491"/>
      <c r="J29" s="489"/>
      <c r="K29" s="489"/>
      <c r="L29" s="489"/>
      <c r="M29" s="489"/>
      <c r="N29" s="506">
        <f>(T29*$O$28)/$V$28</f>
        <v>0</v>
      </c>
      <c r="O29" s="506"/>
      <c r="P29" s="508">
        <f>(T29*$Q$28)/$V$28</f>
        <v>0</v>
      </c>
      <c r="Q29" s="509"/>
      <c r="R29" s="511">
        <f>(T29*$S$28)/$V$28</f>
        <v>0</v>
      </c>
      <c r="S29" s="511"/>
      <c r="T29" s="501">
        <f>'Dépenses BP 2017'!AQ32</f>
        <v>1095.8760003549367</v>
      </c>
      <c r="U29" s="501"/>
      <c r="V29" s="502"/>
      <c r="W29" s="54"/>
      <c r="X29" s="520">
        <f>($Y$28*T29)/$V$28</f>
        <v>20.547675006655059</v>
      </c>
      <c r="Y29" s="520"/>
      <c r="Z29" s="520">
        <f>($AA$28*T29)/$V$28</f>
        <v>10.958760003549365</v>
      </c>
      <c r="AA29" s="520"/>
      <c r="AB29" s="518">
        <f>($AC$28*T29)/$V$28</f>
        <v>45.204885014641135</v>
      </c>
      <c r="AC29" s="590"/>
      <c r="AD29" s="596"/>
      <c r="AE29" s="596"/>
      <c r="AF29" s="54"/>
      <c r="AN29" s="212"/>
      <c r="AO29" s="205"/>
      <c r="AQ29" s="220"/>
      <c r="AR29" s="61"/>
      <c r="AS29" s="61"/>
      <c r="AT29" s="61"/>
      <c r="AU29" s="220"/>
      <c r="AV29" s="61"/>
      <c r="AW29" s="61"/>
      <c r="AX29" s="61"/>
      <c r="AY29" s="61"/>
      <c r="AZ29" s="61"/>
      <c r="BA29" s="61"/>
      <c r="BB29" s="58"/>
      <c r="BC29" s="211"/>
      <c r="BD29" s="78"/>
      <c r="BE29" s="78"/>
      <c r="BF29" s="78"/>
      <c r="BG29" s="211"/>
      <c r="BH29" s="82"/>
      <c r="BI29" s="82"/>
      <c r="BJ29" s="82"/>
    </row>
    <row r="30" spans="1:62">
      <c r="A30" s="1584"/>
      <c r="B30" s="489">
        <f>($C$28*T30)/$V$28</f>
        <v>83.7212988096</v>
      </c>
      <c r="C30" s="490"/>
      <c r="D30" s="489">
        <f>(T30*$E$28)/$V$28</f>
        <v>242.79176654783998</v>
      </c>
      <c r="E30" s="489"/>
      <c r="F30" s="489">
        <f>(T30*$G$28)/$V$28</f>
        <v>343.25732511936008</v>
      </c>
      <c r="G30" s="489"/>
      <c r="H30" s="491"/>
      <c r="I30" s="491"/>
      <c r="J30" s="489"/>
      <c r="K30" s="489"/>
      <c r="L30" s="489"/>
      <c r="M30" s="489"/>
      <c r="N30" s="506">
        <f>(T30*$O$28)/$V$28</f>
        <v>0</v>
      </c>
      <c r="O30" s="506"/>
      <c r="P30" s="508">
        <f>(T30*$Q$28)/$V$28</f>
        <v>0</v>
      </c>
      <c r="Q30" s="509"/>
      <c r="R30" s="511">
        <f>(T30*$S$28)/$V$28</f>
        <v>0</v>
      </c>
      <c r="S30" s="511"/>
      <c r="T30" s="501">
        <f>'Dépenses BP 2017'!AQ33</f>
        <v>669.7703904768</v>
      </c>
      <c r="U30" s="501"/>
      <c r="V30" s="502"/>
      <c r="W30" s="54"/>
      <c r="X30" s="520">
        <f>($Y$28*T30)/$V$28</f>
        <v>12.558194821439997</v>
      </c>
      <c r="Y30" s="520"/>
      <c r="Z30" s="520">
        <f>($AA$28*T30)/$V$28</f>
        <v>6.6977039047679998</v>
      </c>
      <c r="AA30" s="520"/>
      <c r="AB30" s="518">
        <f>($AC$28*T30)/$V$28</f>
        <v>27.628028607168002</v>
      </c>
      <c r="AC30" s="590"/>
      <c r="AD30" s="596"/>
      <c r="AE30" s="596"/>
      <c r="AF30" s="54"/>
      <c r="AN30" s="212"/>
      <c r="AO30" s="205"/>
      <c r="AQ30" s="220"/>
      <c r="AR30" s="61"/>
      <c r="AS30" s="61"/>
      <c r="AT30" s="61"/>
      <c r="AU30" s="220"/>
      <c r="AV30" s="61"/>
      <c r="AW30" s="61"/>
      <c r="AX30" s="61"/>
      <c r="AY30" s="61"/>
      <c r="AZ30" s="61"/>
      <c r="BA30" s="61"/>
      <c r="BB30" s="58"/>
      <c r="BC30" s="211"/>
      <c r="BD30" s="78"/>
      <c r="BE30" s="78"/>
      <c r="BF30" s="78"/>
      <c r="BG30" s="211"/>
      <c r="BH30" s="82"/>
      <c r="BI30" s="82"/>
      <c r="BJ30" s="82"/>
    </row>
    <row r="31" spans="1:62">
      <c r="A31" s="1584" t="str">
        <f>'Dépenses BP 2017'!A34</f>
        <v>XX</v>
      </c>
      <c r="B31" s="489">
        <f>(C31*T31)/V31</f>
        <v>4143.0636353599994</v>
      </c>
      <c r="C31" s="489">
        <v>0.1</v>
      </c>
      <c r="D31" s="489">
        <f>(T31*E31)/V31</f>
        <v>20715.318176799999</v>
      </c>
      <c r="E31" s="489">
        <v>0.5</v>
      </c>
      <c r="F31" s="489">
        <f>(T31*G31)/V31</f>
        <v>8617.5723615488041</v>
      </c>
      <c r="G31" s="489">
        <f>V31-C31-E31-K31-M31-O31-Q31-S31</f>
        <v>0.2080000000000001</v>
      </c>
      <c r="H31" s="492"/>
      <c r="I31" s="492"/>
      <c r="J31" s="489"/>
      <c r="K31" s="493"/>
      <c r="L31" s="489"/>
      <c r="M31" s="489"/>
      <c r="N31" s="506">
        <f>(T31*O31)/V31</f>
        <v>0</v>
      </c>
      <c r="O31" s="506">
        <f>'Dépenses BP 2017'!AD34</f>
        <v>0</v>
      </c>
      <c r="P31" s="508">
        <f>(T31*Q31)/V31</f>
        <v>5883.1503622111995</v>
      </c>
      <c r="Q31" s="509">
        <f>'Dépenses BP 2017'!AG34</f>
        <v>0.14199999999999999</v>
      </c>
      <c r="R31" s="511">
        <f>(T31*S31)/V31</f>
        <v>0</v>
      </c>
      <c r="S31" s="511">
        <v>0</v>
      </c>
      <c r="T31" s="501">
        <f>'Dépenses BP 2017'!AQ34</f>
        <v>39359.10453592</v>
      </c>
      <c r="U31" s="501"/>
      <c r="V31" s="502">
        <f>'Dépenses BP 2017'!AR34</f>
        <v>0.95000000000000007</v>
      </c>
      <c r="W31" s="54"/>
      <c r="X31" s="520">
        <f>(Y31*T31)/V31</f>
        <v>621.4595453039999</v>
      </c>
      <c r="Y31" s="520">
        <v>1.4999999999999999E-2</v>
      </c>
      <c r="Z31" s="520">
        <f>(AA31*T31)/V31</f>
        <v>331.44509082880001</v>
      </c>
      <c r="AA31" s="520">
        <v>8.0000000000000002E-3</v>
      </c>
      <c r="AB31" s="518">
        <f>(AC31*T31)/V31</f>
        <v>0</v>
      </c>
      <c r="AC31" s="590">
        <f>AC13</f>
        <v>0</v>
      </c>
      <c r="AD31" s="596"/>
      <c r="AE31" s="596"/>
      <c r="AF31" s="54"/>
      <c r="AH31">
        <v>1.6486899100000001E-2</v>
      </c>
      <c r="AN31" s="212"/>
      <c r="AO31" s="205"/>
      <c r="AQ31" s="220"/>
      <c r="AR31" s="61"/>
      <c r="AS31" s="61"/>
      <c r="AT31" s="61"/>
      <c r="AU31" s="220"/>
      <c r="AV31" s="61"/>
      <c r="AW31" s="61"/>
      <c r="AX31" s="61"/>
      <c r="AY31" s="61"/>
      <c r="AZ31" s="61"/>
      <c r="BA31" s="61"/>
      <c r="BB31" s="58"/>
      <c r="BC31" s="211"/>
      <c r="BD31" s="78"/>
      <c r="BE31" s="78"/>
      <c r="BF31" s="78"/>
      <c r="BG31" s="211"/>
      <c r="BH31" s="82">
        <f>'Dépenses BP 2017'!T34</f>
        <v>2071.5318176800001</v>
      </c>
      <c r="BI31" s="82"/>
      <c r="BJ31" s="82">
        <f>'Dépenses BP 2017'!V34</f>
        <v>0</v>
      </c>
    </row>
    <row r="32" spans="1:62">
      <c r="A32" s="1584"/>
      <c r="B32" s="489">
        <f>($C$31*T32)/$V$31</f>
        <v>156.47072534473705</v>
      </c>
      <c r="C32" s="490"/>
      <c r="D32" s="489">
        <f>(T32*$E$31)/$V$31</f>
        <v>782.35362672368524</v>
      </c>
      <c r="E32" s="489"/>
      <c r="F32" s="489">
        <f>(T32*$G$31)/$V$31</f>
        <v>325.4591087170532</v>
      </c>
      <c r="G32" s="489"/>
      <c r="H32" s="491"/>
      <c r="I32" s="491"/>
      <c r="J32" s="489"/>
      <c r="K32" s="489"/>
      <c r="L32" s="489"/>
      <c r="M32" s="489"/>
      <c r="N32" s="506">
        <f>(T32*$O$31)/$V$31</f>
        <v>0</v>
      </c>
      <c r="O32" s="506"/>
      <c r="P32" s="508">
        <f>(T32*$Q$31)/$V$31</f>
        <v>222.18842998952661</v>
      </c>
      <c r="Q32" s="509"/>
      <c r="R32" s="511">
        <f>(T32*$S$31)/$V$31</f>
        <v>0</v>
      </c>
      <c r="S32" s="511"/>
      <c r="T32" s="501">
        <f>'Dépenses BP 2017'!AQ35</f>
        <v>1486.4718907750021</v>
      </c>
      <c r="U32" s="501"/>
      <c r="V32" s="502"/>
      <c r="W32" s="54"/>
      <c r="X32" s="520">
        <f>($Y$31*T32)/$V$31</f>
        <v>23.470608801710554</v>
      </c>
      <c r="Y32" s="520"/>
      <c r="Z32" s="520">
        <f>($AA$31*T32)/$V$31</f>
        <v>12.517658027578964</v>
      </c>
      <c r="AA32" s="520"/>
      <c r="AB32" s="518">
        <f>($AC$31*T32)/$V$31</f>
        <v>0</v>
      </c>
      <c r="AC32" s="590"/>
      <c r="AD32" s="596"/>
      <c r="AE32" s="596"/>
      <c r="AF32" s="54"/>
      <c r="AN32" s="212"/>
      <c r="AO32" s="205"/>
      <c r="AQ32" s="220"/>
      <c r="AR32" s="61"/>
      <c r="AS32" s="61"/>
      <c r="AT32" s="61"/>
      <c r="AU32" s="220"/>
      <c r="AV32" s="61"/>
      <c r="AW32" s="61"/>
      <c r="AX32" s="61"/>
      <c r="AY32" s="61"/>
      <c r="AZ32" s="61"/>
      <c r="BA32" s="61"/>
      <c r="BB32" s="58"/>
      <c r="BC32" s="211"/>
      <c r="BD32" s="78"/>
      <c r="BE32" s="78"/>
      <c r="BF32" s="78"/>
      <c r="BG32" s="211"/>
      <c r="BH32" s="82"/>
      <c r="BI32" s="82"/>
      <c r="BJ32" s="82"/>
    </row>
    <row r="33" spans="1:62">
      <c r="A33" s="1584"/>
      <c r="B33" s="489">
        <f>($C$31*T33)/$V$31</f>
        <v>83.05654736842105</v>
      </c>
      <c r="C33" s="490"/>
      <c r="D33" s="489">
        <f>(T33*$E$31)/$V$31</f>
        <v>415.28273684210524</v>
      </c>
      <c r="E33" s="489"/>
      <c r="F33" s="489">
        <f>(T33*$G$31)/$V$31</f>
        <v>172.75761852631584</v>
      </c>
      <c r="G33" s="489"/>
      <c r="H33" s="491"/>
      <c r="I33" s="491"/>
      <c r="J33" s="489"/>
      <c r="K33" s="489"/>
      <c r="L33" s="489"/>
      <c r="M33" s="489"/>
      <c r="N33" s="506">
        <f>(T33*$O$31)/$V$31</f>
        <v>0</v>
      </c>
      <c r="O33" s="506"/>
      <c r="P33" s="508">
        <f>(T33*$Q$31)/$V$31</f>
        <v>117.94029726315787</v>
      </c>
      <c r="Q33" s="509"/>
      <c r="R33" s="511">
        <f>(T33*$S$31)/$V$31</f>
        <v>0</v>
      </c>
      <c r="S33" s="511"/>
      <c r="T33" s="501">
        <f>'Dépenses BP 2017'!AQ36</f>
        <v>789.03719999999998</v>
      </c>
      <c r="U33" s="501"/>
      <c r="V33" s="502"/>
      <c r="W33" s="54"/>
      <c r="X33" s="520">
        <f>($Y$31*T33)/$V$31</f>
        <v>12.458482105263156</v>
      </c>
      <c r="Y33" s="520"/>
      <c r="Z33" s="520">
        <f>($AA$31*T33)/$V$31</f>
        <v>6.6445237894736833</v>
      </c>
      <c r="AA33" s="520"/>
      <c r="AB33" s="518">
        <f>($AC$31*T33)/$V$31</f>
        <v>0</v>
      </c>
      <c r="AC33" s="590"/>
      <c r="AD33" s="596"/>
      <c r="AE33" s="596"/>
      <c r="AF33" s="54"/>
      <c r="AN33" s="212"/>
      <c r="AO33" s="205"/>
      <c r="AQ33" s="220"/>
      <c r="AR33" s="61"/>
      <c r="AS33" s="61"/>
      <c r="AT33" s="61"/>
      <c r="AU33" s="220"/>
      <c r="AV33" s="61"/>
      <c r="AW33" s="61"/>
      <c r="AX33" s="61"/>
      <c r="AY33" s="61"/>
      <c r="AZ33" s="61"/>
      <c r="BA33" s="61"/>
      <c r="BB33" s="58"/>
      <c r="BC33" s="211"/>
      <c r="BD33" s="78"/>
      <c r="BE33" s="78"/>
      <c r="BF33" s="78"/>
      <c r="BG33" s="211"/>
      <c r="BH33" s="82"/>
      <c r="BI33" s="82"/>
      <c r="BJ33" s="82"/>
    </row>
    <row r="34" spans="1:62">
      <c r="A34" s="1584" t="str">
        <f>'Dépenses BP 2017'!A37</f>
        <v>XX</v>
      </c>
      <c r="B34" s="489">
        <f>(C34*T34)/V34</f>
        <v>6207.2275058399982</v>
      </c>
      <c r="C34" s="489">
        <v>0.15</v>
      </c>
      <c r="D34" s="489">
        <f>(T34*E34)/V34</f>
        <v>16552.606682239995</v>
      </c>
      <c r="E34" s="489">
        <v>0.4</v>
      </c>
      <c r="F34" s="489">
        <f>(T34*G34)/V34</f>
        <v>12290.310461563195</v>
      </c>
      <c r="G34" s="489">
        <f>V34-C34-E34-K34-M34-O34-Q34-S34</f>
        <v>0.29699999999999993</v>
      </c>
      <c r="H34" s="492"/>
      <c r="I34" s="492"/>
      <c r="J34" s="489"/>
      <c r="K34" s="489"/>
      <c r="L34" s="489"/>
      <c r="M34" s="489"/>
      <c r="N34" s="506">
        <f>(T34*O34)/V34</f>
        <v>0</v>
      </c>
      <c r="O34" s="506">
        <f>'Dépenses BP 2017'!AD37</f>
        <v>0</v>
      </c>
      <c r="P34" s="508">
        <f>(T34*Q34)/V34</f>
        <v>0</v>
      </c>
      <c r="Q34" s="509">
        <f>'Dépenses BP 2017'!AG37</f>
        <v>0</v>
      </c>
      <c r="R34" s="511">
        <f>(T34*S34)/V34</f>
        <v>0</v>
      </c>
      <c r="S34" s="511">
        <v>0</v>
      </c>
      <c r="T34" s="501">
        <f>'Dépenses BP 2017'!AQ37</f>
        <v>35050.144649643189</v>
      </c>
      <c r="U34" s="501"/>
      <c r="V34" s="502">
        <f>'Dépenses BP 2017'!AR37</f>
        <v>0.84699999999999998</v>
      </c>
      <c r="W34" s="54"/>
      <c r="X34" s="520">
        <f>(Y34*T34)/V34</f>
        <v>2275.9834188079994</v>
      </c>
      <c r="Y34" s="520">
        <v>5.5E-2</v>
      </c>
      <c r="Z34" s="520">
        <f>(AA34*T34)/V34</f>
        <v>1655.2606682239998</v>
      </c>
      <c r="AA34" s="520">
        <v>0.04</v>
      </c>
      <c r="AB34" s="518">
        <f>(AC34*T34)/V34</f>
        <v>0</v>
      </c>
      <c r="AC34" s="590">
        <f>AC13</f>
        <v>0</v>
      </c>
      <c r="AD34" s="596"/>
      <c r="AE34" s="596"/>
      <c r="AF34" s="54"/>
      <c r="AH34">
        <v>1.6486899100000001E-2</v>
      </c>
      <c r="AN34" s="212"/>
      <c r="AO34" s="205"/>
      <c r="AQ34" s="220"/>
      <c r="AR34" s="61"/>
      <c r="AS34" s="61"/>
      <c r="AT34" s="61"/>
      <c r="AU34" s="220"/>
      <c r="AV34" s="61"/>
      <c r="AW34" s="61"/>
      <c r="AX34" s="61"/>
      <c r="AY34" s="61"/>
      <c r="AZ34" s="61"/>
      <c r="BA34" s="61"/>
      <c r="BB34" s="58"/>
      <c r="BC34" s="211"/>
      <c r="BD34" s="78"/>
      <c r="BE34" s="78"/>
      <c r="BF34" s="78"/>
      <c r="BG34" s="211"/>
      <c r="BH34" s="82"/>
      <c r="BI34" s="82"/>
      <c r="BJ34" s="82"/>
    </row>
    <row r="35" spans="1:62">
      <c r="A35" s="1584"/>
      <c r="B35" s="489">
        <f>($C$34*T35)/$V$34</f>
        <v>271.89175575196691</v>
      </c>
      <c r="C35" s="490"/>
      <c r="D35" s="489">
        <f>(T35*$E$34)/$V$34</f>
        <v>725.04468200524525</v>
      </c>
      <c r="E35" s="489"/>
      <c r="F35" s="489">
        <f>(T35*$G$34)/$V$34</f>
        <v>538.34567638889439</v>
      </c>
      <c r="G35" s="489"/>
      <c r="H35" s="491"/>
      <c r="I35" s="491"/>
      <c r="J35" s="489"/>
      <c r="K35" s="489"/>
      <c r="L35" s="489"/>
      <c r="M35" s="489"/>
      <c r="N35" s="506">
        <f>(T35*$O$34)/$V$34</f>
        <v>0</v>
      </c>
      <c r="O35" s="506"/>
      <c r="P35" s="508">
        <f>(T35*$Q$34)/$V$34</f>
        <v>0</v>
      </c>
      <c r="Q35" s="509"/>
      <c r="R35" s="511">
        <f>(T35*$S$34)/$V$34</f>
        <v>0</v>
      </c>
      <c r="S35" s="511"/>
      <c r="T35" s="501">
        <f>'Dépenses BP 2017'!AQ38</f>
        <v>1535.2821141461066</v>
      </c>
      <c r="U35" s="501"/>
      <c r="V35" s="502"/>
      <c r="W35" s="54"/>
      <c r="X35" s="520">
        <f>($Y$34*T35)/$V$34</f>
        <v>99.693643775721199</v>
      </c>
      <c r="Y35" s="520"/>
      <c r="Z35" s="520">
        <f>($AA$34*T35)/$V$34</f>
        <v>72.504468200524514</v>
      </c>
      <c r="AA35" s="520"/>
      <c r="AB35" s="518">
        <f>($AC$34*T35)/$V$34</f>
        <v>0</v>
      </c>
      <c r="AC35" s="590"/>
      <c r="AD35" s="596"/>
      <c r="AE35" s="596"/>
      <c r="AF35" s="54"/>
      <c r="AN35" s="212"/>
      <c r="AO35" s="205"/>
      <c r="AQ35" s="220"/>
      <c r="AR35" s="61"/>
      <c r="AS35" s="61"/>
      <c r="AT35" s="61"/>
      <c r="AU35" s="220"/>
      <c r="AV35" s="61"/>
      <c r="AW35" s="61"/>
      <c r="AX35" s="61"/>
      <c r="AY35" s="61"/>
      <c r="AZ35" s="61"/>
      <c r="BA35" s="61"/>
      <c r="BB35" s="58"/>
      <c r="BC35" s="211"/>
      <c r="BD35" s="78"/>
      <c r="BE35" s="78"/>
      <c r="BF35" s="78"/>
      <c r="BG35" s="211"/>
      <c r="BH35" s="82"/>
      <c r="BI35" s="82"/>
      <c r="BJ35" s="82"/>
    </row>
    <row r="36" spans="1:62">
      <c r="A36" s="1584"/>
      <c r="B36" s="489">
        <f>($C$34*T36)/$V$34</f>
        <v>142.37447461629279</v>
      </c>
      <c r="C36" s="490"/>
      <c r="D36" s="489">
        <f>(T36*$E$34)/$V$34</f>
        <v>379.66526564344741</v>
      </c>
      <c r="E36" s="489"/>
      <c r="F36" s="489">
        <f>(T36*$G$34)/$V$34</f>
        <v>281.90145974025967</v>
      </c>
      <c r="G36" s="489"/>
      <c r="H36" s="491"/>
      <c r="I36" s="491"/>
      <c r="J36" s="489"/>
      <c r="K36" s="489"/>
      <c r="L36" s="489"/>
      <c r="M36" s="489"/>
      <c r="N36" s="506">
        <f>(T36*$O$34)/$V$34</f>
        <v>0</v>
      </c>
      <c r="O36" s="506"/>
      <c r="P36" s="508">
        <f>(T36*$Q$34)/$V$34</f>
        <v>0</v>
      </c>
      <c r="Q36" s="509"/>
      <c r="R36" s="511">
        <f>(T36*$S$34)/$V$34</f>
        <v>0</v>
      </c>
      <c r="S36" s="511"/>
      <c r="T36" s="501">
        <f>'Dépenses BP 2017'!AQ39</f>
        <v>803.94119999999987</v>
      </c>
      <c r="U36" s="501"/>
      <c r="V36" s="502"/>
      <c r="W36" s="54"/>
      <c r="X36" s="520">
        <f>($Y$34*T36)/$V$34</f>
        <v>52.20397402597402</v>
      </c>
      <c r="Y36" s="520"/>
      <c r="Z36" s="520">
        <f>($AA$34*T36)/$V$34</f>
        <v>37.96652656434474</v>
      </c>
      <c r="AA36" s="520"/>
      <c r="AB36" s="518">
        <f>($AC$34*T36)/$V$34</f>
        <v>0</v>
      </c>
      <c r="AC36" s="590"/>
      <c r="AD36" s="596"/>
      <c r="AE36" s="596"/>
      <c r="AF36" s="54"/>
      <c r="AN36" s="212"/>
      <c r="AO36" s="205"/>
      <c r="AQ36" s="220"/>
      <c r="AR36" s="61"/>
      <c r="AS36" s="61"/>
      <c r="AT36" s="61"/>
      <c r="AU36" s="220"/>
      <c r="AV36" s="61"/>
      <c r="AW36" s="61"/>
      <c r="AX36" s="61"/>
      <c r="AY36" s="61"/>
      <c r="AZ36" s="61"/>
      <c r="BA36" s="61"/>
      <c r="BB36" s="58"/>
      <c r="BC36" s="211"/>
      <c r="BD36" s="78"/>
      <c r="BE36" s="78"/>
      <c r="BF36" s="78"/>
      <c r="BG36" s="211"/>
      <c r="BH36" s="82"/>
      <c r="BI36" s="82"/>
      <c r="BJ36" s="82"/>
    </row>
    <row r="37" spans="1:62">
      <c r="A37" s="1584" t="str">
        <f>'Dépenses BP 2017'!A40</f>
        <v>XX</v>
      </c>
      <c r="B37" s="489">
        <f>(C37*T37)/V37</f>
        <v>8447.650802279999</v>
      </c>
      <c r="C37" s="489">
        <v>0.25</v>
      </c>
      <c r="D37" s="489">
        <f>(T37*E37)/V37</f>
        <v>8447.650802279999</v>
      </c>
      <c r="E37" s="489">
        <v>0.25</v>
      </c>
      <c r="F37" s="489">
        <f>(T37*G37)/V37</f>
        <v>15881.583508286398</v>
      </c>
      <c r="G37" s="489">
        <f>V37-C37-E37-K37-M37-O37-Q37-S37</f>
        <v>0.47</v>
      </c>
      <c r="H37" s="491"/>
      <c r="I37" s="491"/>
      <c r="J37" s="489"/>
      <c r="K37" s="489"/>
      <c r="L37" s="489"/>
      <c r="M37" s="489"/>
      <c r="N37" s="506">
        <f>(T37*O37)/V37</f>
        <v>0</v>
      </c>
      <c r="O37" s="506"/>
      <c r="P37" s="508">
        <f>(T37*Q37)/V37</f>
        <v>1013.7180962735998</v>
      </c>
      <c r="Q37" s="509">
        <f>'Dépenses BP 2017'!AG40</f>
        <v>0.03</v>
      </c>
      <c r="R37" s="511">
        <f>(T37*S37)/V37</f>
        <v>0</v>
      </c>
      <c r="S37" s="511">
        <v>0</v>
      </c>
      <c r="T37" s="501">
        <f>'Dépenses BP 2017'!AQ40</f>
        <v>33790.603209119996</v>
      </c>
      <c r="U37" s="501"/>
      <c r="V37" s="502">
        <f>'Dépenses BP 2017'!AR40</f>
        <v>1</v>
      </c>
      <c r="W37" s="54"/>
      <c r="X37" s="520">
        <f>(Y37*T37)/V37</f>
        <v>506.85904813679991</v>
      </c>
      <c r="Y37" s="520">
        <v>1.4999999999999999E-2</v>
      </c>
      <c r="Z37" s="520">
        <f>(AA37*T37)/V37</f>
        <v>270.32482567295995</v>
      </c>
      <c r="AA37" s="520">
        <v>8.0000000000000002E-3</v>
      </c>
      <c r="AB37" s="518">
        <f>(AC37*T37)/V37</f>
        <v>1115.0899059009598</v>
      </c>
      <c r="AC37" s="590">
        <v>3.3000000000000002E-2</v>
      </c>
      <c r="AD37" s="596"/>
      <c r="AE37" s="596"/>
      <c r="AF37" s="54"/>
      <c r="AH37">
        <v>1.6486899100000001E-2</v>
      </c>
      <c r="AN37" s="212"/>
      <c r="AO37" s="205"/>
      <c r="AQ37" s="220"/>
      <c r="AR37" s="61"/>
      <c r="AS37" s="61"/>
      <c r="AT37" s="61"/>
      <c r="AU37" s="220"/>
      <c r="AV37" s="61"/>
      <c r="AW37" s="61"/>
      <c r="AX37" s="61"/>
      <c r="AY37" s="61"/>
      <c r="AZ37" s="61"/>
      <c r="BA37" s="61"/>
      <c r="BB37" s="58"/>
      <c r="BC37" s="211"/>
      <c r="BD37" s="78"/>
      <c r="BE37" s="78"/>
      <c r="BF37" s="78"/>
      <c r="BG37" s="211"/>
      <c r="BH37" s="82"/>
      <c r="BI37" s="82"/>
      <c r="BJ37" s="82"/>
    </row>
    <row r="38" spans="1:62">
      <c r="A38" s="1584"/>
      <c r="B38" s="489">
        <f>($C$37*T38)/$V$37</f>
        <v>276.43803712009742</v>
      </c>
      <c r="C38" s="490"/>
      <c r="D38" s="489">
        <f>(T38*$E$37)/$V$37</f>
        <v>276.43803712009742</v>
      </c>
      <c r="E38" s="489"/>
      <c r="F38" s="489">
        <f>(T38*$G$37)/$V$37</f>
        <v>519.70350978578313</v>
      </c>
      <c r="G38" s="489"/>
      <c r="H38" s="491"/>
      <c r="I38" s="491"/>
      <c r="J38" s="489"/>
      <c r="K38" s="489"/>
      <c r="L38" s="489"/>
      <c r="M38" s="489"/>
      <c r="N38" s="506">
        <f>(T38*$O$37)/$V$37</f>
        <v>0</v>
      </c>
      <c r="O38" s="506"/>
      <c r="P38" s="508">
        <f>(T38*$Q$37)/$V$37</f>
        <v>33.172564454411692</v>
      </c>
      <c r="Q38" s="509"/>
      <c r="R38" s="511">
        <f>(T38*$S$37)/$V$37</f>
        <v>0</v>
      </c>
      <c r="S38" s="511"/>
      <c r="T38" s="501">
        <f>'Dépenses BP 2017'!AQ41</f>
        <v>1105.7521484803897</v>
      </c>
      <c r="U38" s="501"/>
      <c r="V38" s="502"/>
      <c r="W38" s="54"/>
      <c r="X38" s="520">
        <f>($Y$37*T38)/$V$37</f>
        <v>16.586282227205846</v>
      </c>
      <c r="Y38" s="520"/>
      <c r="Z38" s="520">
        <f>($AA$37*T38)/$V$37</f>
        <v>8.8460171878431169</v>
      </c>
      <c r="AA38" s="520"/>
      <c r="AB38" s="518">
        <f>($AC$37*T38)/$V$37</f>
        <v>36.489820899852859</v>
      </c>
      <c r="AC38" s="590"/>
      <c r="AD38" s="596"/>
      <c r="AE38" s="596"/>
      <c r="AF38" s="54"/>
      <c r="AN38" s="212"/>
      <c r="AO38" s="205"/>
      <c r="AQ38" s="220"/>
      <c r="AR38" s="61"/>
      <c r="AS38" s="61"/>
      <c r="AT38" s="61"/>
      <c r="AU38" s="220"/>
      <c r="AV38" s="61"/>
      <c r="AW38" s="61"/>
      <c r="AX38" s="61"/>
      <c r="AY38" s="61"/>
      <c r="AZ38" s="61"/>
      <c r="BA38" s="61"/>
      <c r="BB38" s="58"/>
      <c r="BC38" s="211"/>
      <c r="BD38" s="78"/>
      <c r="BE38" s="78"/>
      <c r="BF38" s="78"/>
      <c r="BG38" s="211"/>
      <c r="BH38" s="82"/>
      <c r="BI38" s="82"/>
      <c r="BJ38" s="82"/>
    </row>
    <row r="39" spans="1:62">
      <c r="A39" s="1584"/>
      <c r="B39" s="489">
        <f>($C$37*T39)/$V$37</f>
        <v>168.19649999999999</v>
      </c>
      <c r="C39" s="490"/>
      <c r="D39" s="489">
        <f>(T39*$E$37)/$V$37</f>
        <v>168.19649999999999</v>
      </c>
      <c r="E39" s="489"/>
      <c r="F39" s="489">
        <f>(T39*$G$37)/$V$37</f>
        <v>316.20941999999997</v>
      </c>
      <c r="G39" s="489"/>
      <c r="H39" s="491"/>
      <c r="I39" s="491"/>
      <c r="J39" s="489"/>
      <c r="K39" s="489"/>
      <c r="L39" s="489"/>
      <c r="M39" s="489"/>
      <c r="N39" s="506">
        <f>(T39*$O$37)/$V$37</f>
        <v>0</v>
      </c>
      <c r="O39" s="506"/>
      <c r="P39" s="508">
        <f>(T39*$Q$37)/$V$37</f>
        <v>20.183579999999999</v>
      </c>
      <c r="Q39" s="509"/>
      <c r="R39" s="511">
        <f>(T39*$S$37)/$V$37</f>
        <v>0</v>
      </c>
      <c r="S39" s="511"/>
      <c r="T39" s="501">
        <f>'Dépenses BP 2017'!AQ42</f>
        <v>672.78599999999994</v>
      </c>
      <c r="U39" s="501"/>
      <c r="V39" s="502"/>
      <c r="W39" s="54"/>
      <c r="X39" s="520">
        <f>($Y$37*T39)/$V$37</f>
        <v>10.09179</v>
      </c>
      <c r="Y39" s="520"/>
      <c r="Z39" s="520">
        <f>($AA$37*T39)/$V$37</f>
        <v>5.382288</v>
      </c>
      <c r="AA39" s="520"/>
      <c r="AB39" s="518">
        <f>($AC$37*T39)/$V$37</f>
        <v>22.201937999999998</v>
      </c>
      <c r="AC39" s="590"/>
      <c r="AD39" s="596"/>
      <c r="AE39" s="596"/>
      <c r="AF39" s="54"/>
      <c r="AN39" s="212"/>
      <c r="AO39" s="205"/>
      <c r="AQ39" s="220"/>
      <c r="AR39" s="61"/>
      <c r="AS39" s="61"/>
      <c r="AT39" s="61"/>
      <c r="AU39" s="220"/>
      <c r="AV39" s="61"/>
      <c r="AW39" s="61"/>
      <c r="AX39" s="61"/>
      <c r="AY39" s="61"/>
      <c r="AZ39" s="61"/>
      <c r="BA39" s="61"/>
      <c r="BB39" s="58"/>
      <c r="BC39" s="211"/>
      <c r="BD39" s="78"/>
      <c r="BE39" s="78"/>
      <c r="BF39" s="78"/>
      <c r="BG39" s="211"/>
      <c r="BH39" s="82"/>
      <c r="BI39" s="82"/>
      <c r="BJ39" s="82"/>
    </row>
    <row r="40" spans="1:62">
      <c r="A40" s="1584" t="str">
        <f>'Dépenses BP 2017'!A43</f>
        <v>XX</v>
      </c>
      <c r="B40" s="489">
        <f>(C40*T40)/V40</f>
        <v>8480.6905914800009</v>
      </c>
      <c r="C40" s="489">
        <v>0.25</v>
      </c>
      <c r="D40" s="489">
        <f>(T40*E40)/V40</f>
        <v>8480.6905914800009</v>
      </c>
      <c r="E40" s="489">
        <v>0.25</v>
      </c>
      <c r="F40" s="489">
        <f>(T40*G40)/V40</f>
        <v>16961.381182960002</v>
      </c>
      <c r="G40" s="489">
        <f>V40-C40-E40-K40-M40-O40-Q40-S40</f>
        <v>0.5</v>
      </c>
      <c r="H40" s="491"/>
      <c r="I40" s="491"/>
      <c r="J40" s="489"/>
      <c r="K40" s="489"/>
      <c r="L40" s="489"/>
      <c r="M40" s="489"/>
      <c r="N40" s="506">
        <f>(T40*O40)/V40</f>
        <v>0</v>
      </c>
      <c r="O40" s="506"/>
      <c r="P40" s="508">
        <f>(T40*Q40)/V40</f>
        <v>0</v>
      </c>
      <c r="Q40" s="509">
        <f>'Dépenses BP 2017'!AG43</f>
        <v>0</v>
      </c>
      <c r="R40" s="511">
        <f>(T40*S40)/V40</f>
        <v>0</v>
      </c>
      <c r="S40" s="511">
        <v>0</v>
      </c>
      <c r="T40" s="501">
        <f>'Dépenses BP 2017'!AQ43</f>
        <v>33922.762365920004</v>
      </c>
      <c r="U40" s="501"/>
      <c r="V40" s="502">
        <f>'Dépenses BP 2017'!AR43</f>
        <v>1</v>
      </c>
      <c r="W40" s="54"/>
      <c r="X40" s="520"/>
      <c r="Y40" s="520"/>
      <c r="Z40" s="520"/>
      <c r="AA40" s="520"/>
      <c r="AB40" s="518"/>
      <c r="AC40" s="590"/>
      <c r="AD40" s="596">
        <f>(T40*$AE$40)/$V$40</f>
        <v>33922.762365920004</v>
      </c>
      <c r="AE40" s="596">
        <f>V40</f>
        <v>1</v>
      </c>
      <c r="AF40" s="54"/>
      <c r="AN40" s="212"/>
      <c r="AO40" s="205"/>
      <c r="AQ40" s="220"/>
      <c r="AR40" s="61"/>
      <c r="AS40" s="61"/>
      <c r="AT40" s="61"/>
      <c r="AU40" s="220"/>
      <c r="AV40" s="61"/>
      <c r="AW40" s="61"/>
      <c r="AX40" s="61"/>
      <c r="AY40" s="61"/>
      <c r="AZ40" s="61"/>
      <c r="BA40" s="61"/>
      <c r="BB40" s="58"/>
      <c r="BC40" s="211"/>
      <c r="BD40" s="78"/>
      <c r="BE40" s="78"/>
      <c r="BF40" s="78"/>
      <c r="BG40" s="211"/>
      <c r="BH40" s="82"/>
      <c r="BI40" s="82"/>
      <c r="BJ40" s="82"/>
    </row>
    <row r="41" spans="1:62">
      <c r="A41" s="1584"/>
      <c r="B41" s="489">
        <f>($C$40*T41)/$V$40</f>
        <v>215.44427434861473</v>
      </c>
      <c r="C41" s="490"/>
      <c r="D41" s="489">
        <f>(T41*$E$40)/$V$40</f>
        <v>215.44427434861473</v>
      </c>
      <c r="E41" s="489"/>
      <c r="F41" s="489">
        <f>(T41*$G$40)/$V$40</f>
        <v>430.88854869722945</v>
      </c>
      <c r="G41" s="489"/>
      <c r="H41" s="491"/>
      <c r="I41" s="491"/>
      <c r="J41" s="489"/>
      <c r="K41" s="489"/>
      <c r="L41" s="489"/>
      <c r="M41" s="489"/>
      <c r="N41" s="506">
        <f>(T41*$O$40)/$V$40</f>
        <v>0</v>
      </c>
      <c r="O41" s="506"/>
      <c r="P41" s="508">
        <f>(T41*$Q$40)/$V$40</f>
        <v>0</v>
      </c>
      <c r="Q41" s="509"/>
      <c r="R41" s="511">
        <f>(T41*$S$40)/$V$40</f>
        <v>0</v>
      </c>
      <c r="S41" s="511"/>
      <c r="T41" s="501">
        <f>'Dépenses BP 2017'!AQ44</f>
        <v>861.77709739445891</v>
      </c>
      <c r="U41" s="501"/>
      <c r="V41" s="502"/>
      <c r="W41" s="54"/>
      <c r="X41" s="520"/>
      <c r="Y41" s="520"/>
      <c r="Z41" s="520"/>
      <c r="AA41" s="520"/>
      <c r="AB41" s="518"/>
      <c r="AC41" s="590"/>
      <c r="AD41" s="596">
        <f>(T41*$AE$40)/$V$40</f>
        <v>861.77709739445891</v>
      </c>
      <c r="AE41" s="596"/>
      <c r="AF41" s="54"/>
      <c r="AN41" s="212"/>
      <c r="AO41" s="205"/>
      <c r="AQ41" s="220"/>
      <c r="AR41" s="61"/>
      <c r="AS41" s="61"/>
      <c r="AT41" s="61"/>
      <c r="AU41" s="220"/>
      <c r="AV41" s="61"/>
      <c r="AW41" s="61"/>
      <c r="AX41" s="61"/>
      <c r="AY41" s="61"/>
      <c r="AZ41" s="61"/>
      <c r="BA41" s="61"/>
      <c r="BB41" s="58"/>
      <c r="BC41" s="211"/>
      <c r="BD41" s="78"/>
      <c r="BE41" s="78"/>
      <c r="BF41" s="78"/>
      <c r="BG41" s="211"/>
      <c r="BH41" s="82"/>
      <c r="BI41" s="82"/>
      <c r="BJ41" s="82"/>
    </row>
    <row r="42" spans="1:62">
      <c r="A42" s="1584"/>
      <c r="B42" s="489">
        <f>($C$40*T42)/$V$40</f>
        <v>170.68049999999999</v>
      </c>
      <c r="C42" s="490"/>
      <c r="D42" s="489">
        <f>(T42*$E$40)/$V$40</f>
        <v>170.68049999999999</v>
      </c>
      <c r="E42" s="489"/>
      <c r="F42" s="489">
        <f>(T42*$G$40)/$V$40</f>
        <v>341.36099999999999</v>
      </c>
      <c r="G42" s="489"/>
      <c r="H42" s="491"/>
      <c r="I42" s="491"/>
      <c r="J42" s="489"/>
      <c r="K42" s="489"/>
      <c r="L42" s="489"/>
      <c r="M42" s="489"/>
      <c r="N42" s="506">
        <f>(T42*$O$40)/$V$40</f>
        <v>0</v>
      </c>
      <c r="O42" s="506"/>
      <c r="P42" s="508">
        <f>(T42*$Q$40)/$V$40</f>
        <v>0</v>
      </c>
      <c r="Q42" s="509"/>
      <c r="R42" s="511">
        <f>(T42*$S$40)/$V$40</f>
        <v>0</v>
      </c>
      <c r="S42" s="511"/>
      <c r="T42" s="501">
        <f>'Dépenses BP 2017'!AQ45</f>
        <v>682.72199999999998</v>
      </c>
      <c r="U42" s="501"/>
      <c r="V42" s="502"/>
      <c r="W42" s="54"/>
      <c r="X42" s="520"/>
      <c r="Y42" s="520"/>
      <c r="Z42" s="520"/>
      <c r="AA42" s="520"/>
      <c r="AB42" s="518"/>
      <c r="AC42" s="590"/>
      <c r="AD42" s="596">
        <f>(T42*$AE$40)/$V$40</f>
        <v>682.72199999999998</v>
      </c>
      <c r="AE42" s="596"/>
      <c r="AF42" s="54"/>
      <c r="AN42" s="212"/>
      <c r="AO42" s="205"/>
      <c r="AQ42" s="220"/>
      <c r="AR42" s="61"/>
      <c r="AS42" s="61"/>
      <c r="AT42" s="61"/>
      <c r="AU42" s="220"/>
      <c r="AV42" s="61"/>
      <c r="AW42" s="61"/>
      <c r="AX42" s="61"/>
      <c r="AY42" s="61"/>
      <c r="AZ42" s="61"/>
      <c r="BA42" s="61"/>
      <c r="BB42" s="58"/>
      <c r="BC42" s="211"/>
      <c r="BD42" s="78"/>
      <c r="BE42" s="78"/>
      <c r="BF42" s="78"/>
      <c r="BG42" s="211"/>
      <c r="BH42" s="82"/>
      <c r="BI42" s="82"/>
      <c r="BJ42" s="82"/>
    </row>
    <row r="43" spans="1:62">
      <c r="A43" s="1584" t="str">
        <f>'Dépenses BP 2017'!A52</f>
        <v>XX</v>
      </c>
      <c r="B43" s="489">
        <f>(C43*T43)/V43</f>
        <v>14981.515159084795</v>
      </c>
      <c r="C43" s="489">
        <v>0.43659999999999999</v>
      </c>
      <c r="D43" s="489">
        <f>(T43*E43)/V43</f>
        <v>10294.215638399997</v>
      </c>
      <c r="E43" s="489">
        <v>0.3</v>
      </c>
      <c r="F43" s="489">
        <f>(T43*G43)/V43</f>
        <v>4049.0581511040014</v>
      </c>
      <c r="G43" s="489">
        <f>V43-C43-E43-K43-M43-O43-Q43-S43</f>
        <v>0.11800000000000006</v>
      </c>
      <c r="H43" s="491"/>
      <c r="I43" s="491"/>
      <c r="J43" s="489">
        <f>(T43*K43)/V43</f>
        <v>1246.2863732889598</v>
      </c>
      <c r="K43" s="489">
        <v>3.6320000000000005E-2</v>
      </c>
      <c r="L43" s="489">
        <f>(M43*T43)/V43</f>
        <v>311.57159332223995</v>
      </c>
      <c r="M43" s="489">
        <v>9.0800000000000013E-3</v>
      </c>
      <c r="N43" s="506">
        <f>(T43*O43)/V43</f>
        <v>1681.3885542719995</v>
      </c>
      <c r="O43" s="506">
        <f>'Dépenses BP 2017'!AD52</f>
        <v>4.9000000000000002E-2</v>
      </c>
      <c r="P43" s="508">
        <f>(T43*Q43)/V43</f>
        <v>0</v>
      </c>
      <c r="Q43" s="509">
        <v>0</v>
      </c>
      <c r="R43" s="511">
        <f>(T43*S43)/V43</f>
        <v>0</v>
      </c>
      <c r="S43" s="513">
        <v>0</v>
      </c>
      <c r="T43" s="501">
        <f>'Dépenses BP 2017'!AQ52</f>
        <v>32564.035469471994</v>
      </c>
      <c r="U43" s="501"/>
      <c r="V43" s="502">
        <f>'Dépenses BP 2017'!AR52</f>
        <v>0.94900000000000007</v>
      </c>
      <c r="W43" s="54"/>
      <c r="X43" s="520"/>
      <c r="Y43" s="520"/>
      <c r="Z43" s="520"/>
      <c r="AA43" s="520"/>
      <c r="AB43" s="518"/>
      <c r="AC43" s="590"/>
      <c r="AD43" s="596"/>
      <c r="AE43" s="596"/>
      <c r="AF43" s="54"/>
      <c r="AN43" s="212"/>
      <c r="AO43" s="205"/>
      <c r="AQ43" s="220"/>
      <c r="AR43" s="61"/>
      <c r="AS43" s="61"/>
      <c r="AT43" s="61"/>
      <c r="AU43" s="220"/>
      <c r="AV43" s="61"/>
      <c r="AW43" s="61">
        <f>'Dépenses BP 2017'!E52</f>
        <v>0</v>
      </c>
      <c r="AX43" s="61">
        <f>'Dépenses BP 2017'!F52</f>
        <v>0</v>
      </c>
      <c r="AY43" s="61">
        <f>'Dépenses BP 2017'!G52</f>
        <v>0</v>
      </c>
      <c r="AZ43" s="61"/>
      <c r="BA43" s="61">
        <f>'Dépenses BP 2017'!I52</f>
        <v>0</v>
      </c>
      <c r="BB43" s="58"/>
      <c r="BC43" s="211"/>
      <c r="BD43" s="78">
        <f>'Dépenses BP 2017'!Q52</f>
        <v>0</v>
      </c>
      <c r="BE43" s="78"/>
      <c r="BF43" s="78">
        <f>'Dépenses BP 2017'!S52</f>
        <v>0</v>
      </c>
      <c r="BG43" s="211"/>
      <c r="BH43" s="82">
        <f>'Dépenses BP 2017'!T52</f>
        <v>1750.0166585279999</v>
      </c>
      <c r="BI43" s="82"/>
      <c r="BJ43" s="82">
        <f>'Dépenses BP 2017'!V52</f>
        <v>0</v>
      </c>
    </row>
    <row r="44" spans="1:62">
      <c r="A44" s="1584"/>
      <c r="B44" s="489">
        <f>($C$43*T44)/$V$43</f>
        <v>521.28137718248001</v>
      </c>
      <c r="C44" s="490"/>
      <c r="D44" s="489">
        <f>(T44*$E$43)/$V$43</f>
        <v>358.18692889313792</v>
      </c>
      <c r="E44" s="489"/>
      <c r="F44" s="489">
        <f>(T44*$G$43)/$V$43</f>
        <v>140.88685869796765</v>
      </c>
      <c r="G44" s="489"/>
      <c r="H44" s="491"/>
      <c r="I44" s="491"/>
      <c r="J44" s="489">
        <f>(T44*$K$43)/$V$43</f>
        <v>43.364497524662568</v>
      </c>
      <c r="K44" s="489"/>
      <c r="L44" s="489">
        <f>($M$43*T44)/$V$43</f>
        <v>10.841124381165642</v>
      </c>
      <c r="M44" s="489"/>
      <c r="N44" s="506">
        <f>(T44*$O$43)/$V$43</f>
        <v>58.503865052545855</v>
      </c>
      <c r="O44" s="506"/>
      <c r="P44" s="508">
        <f>(T44*$Q$43)/$V$43</f>
        <v>0</v>
      </c>
      <c r="Q44" s="509"/>
      <c r="R44" s="511">
        <f>(T44*$S$43)/$V$43</f>
        <v>0</v>
      </c>
      <c r="S44" s="512"/>
      <c r="T44" s="501">
        <f>'Dépenses BP 2017'!AQ53</f>
        <v>1133.0646517319597</v>
      </c>
      <c r="U44" s="501"/>
      <c r="V44" s="502"/>
      <c r="W44" s="54"/>
      <c r="X44" s="520"/>
      <c r="Y44" s="520"/>
      <c r="Z44" s="520"/>
      <c r="AA44" s="520"/>
      <c r="AB44" s="518"/>
      <c r="AC44" s="590"/>
      <c r="AD44" s="596"/>
      <c r="AE44" s="596"/>
      <c r="AF44" s="54"/>
      <c r="AN44" s="212"/>
      <c r="AO44" s="205"/>
      <c r="AQ44" s="220"/>
      <c r="AR44" s="61"/>
      <c r="AS44" s="61"/>
      <c r="AT44" s="61"/>
      <c r="AU44" s="220"/>
      <c r="AV44" s="61"/>
      <c r="AW44" s="61"/>
      <c r="AX44" s="61"/>
      <c r="AY44" s="61"/>
      <c r="AZ44" s="61"/>
      <c r="BA44" s="61"/>
      <c r="BB44" s="58"/>
      <c r="BC44" s="211"/>
      <c r="BD44" s="78"/>
      <c r="BE44" s="78"/>
      <c r="BF44" s="78"/>
      <c r="BG44" s="211"/>
      <c r="BH44" s="82"/>
      <c r="BI44" s="82"/>
      <c r="BJ44" s="82"/>
    </row>
    <row r="45" spans="1:62">
      <c r="A45" s="1584"/>
      <c r="B45" s="489">
        <f>($C$43*T45)/$V$43</f>
        <v>313.36091339936769</v>
      </c>
      <c r="C45" s="490"/>
      <c r="D45" s="489">
        <f>(T45*$E$43)/$V$43</f>
        <v>215.31899683877762</v>
      </c>
      <c r="E45" s="489"/>
      <c r="F45" s="489">
        <f>(T45*$G$43)/$V$43</f>
        <v>84.692138756585905</v>
      </c>
      <c r="G45" s="489"/>
      <c r="H45" s="491"/>
      <c r="I45" s="491"/>
      <c r="J45" s="489">
        <f>(T45*$K$43)/$V$43</f>
        <v>26.067953217281346</v>
      </c>
      <c r="K45" s="489"/>
      <c r="L45" s="489">
        <f>($M$43*T45)/$V$43</f>
        <v>6.5169883043203365</v>
      </c>
      <c r="M45" s="489"/>
      <c r="N45" s="506">
        <f>(T45*$O$43)/$V$43</f>
        <v>35.168769483667006</v>
      </c>
      <c r="O45" s="506"/>
      <c r="P45" s="508">
        <f>(T45*$Q$43)/$V$43</f>
        <v>0</v>
      </c>
      <c r="Q45" s="509"/>
      <c r="R45" s="511">
        <f>(T45*$S$43)/$V$43</f>
        <v>0</v>
      </c>
      <c r="S45" s="512"/>
      <c r="T45" s="501">
        <f>'Dépenses BP 2017'!AQ54</f>
        <v>681.1257599999999</v>
      </c>
      <c r="U45" s="501"/>
      <c r="V45" s="502"/>
      <c r="W45" s="54"/>
      <c r="X45" s="520"/>
      <c r="Y45" s="520"/>
      <c r="Z45" s="520"/>
      <c r="AA45" s="520"/>
      <c r="AB45" s="518"/>
      <c r="AC45" s="590"/>
      <c r="AD45" s="596"/>
      <c r="AE45" s="596"/>
      <c r="AF45" s="54"/>
      <c r="AN45" s="212"/>
      <c r="AO45" s="205"/>
      <c r="AQ45" s="220"/>
      <c r="AR45" s="61"/>
      <c r="AS45" s="61"/>
      <c r="AT45" s="61"/>
      <c r="AU45" s="220"/>
      <c r="AV45" s="61"/>
      <c r="AW45" s="61"/>
      <c r="AX45" s="61"/>
      <c r="AY45" s="61"/>
      <c r="AZ45" s="61"/>
      <c r="BA45" s="61"/>
      <c r="BB45" s="58"/>
      <c r="BC45" s="211"/>
      <c r="BD45" s="78"/>
      <c r="BE45" s="78"/>
      <c r="BF45" s="78"/>
      <c r="BG45" s="211"/>
      <c r="BH45" s="82"/>
      <c r="BI45" s="82"/>
      <c r="BJ45" s="82"/>
    </row>
    <row r="46" spans="1:62">
      <c r="A46" s="1584" t="str">
        <f>'Dépenses BP 2017'!A55</f>
        <v>XX</v>
      </c>
      <c r="B46" s="489">
        <f>(C46*T46)/V46</f>
        <v>3597.9675613096433</v>
      </c>
      <c r="C46" s="489">
        <v>0.10946953000000004</v>
      </c>
      <c r="D46" s="489">
        <f>(T46*E46)/V46</f>
        <v>6573.4594115999998</v>
      </c>
      <c r="E46" s="489">
        <v>0.2</v>
      </c>
      <c r="F46" s="489">
        <f>(T46*G46)/V46</f>
        <v>11115.077966704057</v>
      </c>
      <c r="G46" s="489">
        <f>V46-C46-E46-K46-M46-O46-Q46-S46</f>
        <v>0.33818047000000001</v>
      </c>
      <c r="H46" s="491"/>
      <c r="I46" s="491"/>
      <c r="J46" s="489">
        <f>(T46*K46)/V46</f>
        <v>1034.6625113858397</v>
      </c>
      <c r="K46" s="489">
        <v>3.1479999999999994E-2</v>
      </c>
      <c r="L46" s="489">
        <f>(M46*T46)/V46</f>
        <v>258.66562784645993</v>
      </c>
      <c r="M46" s="489">
        <v>7.8699999999999985E-3</v>
      </c>
      <c r="N46" s="506">
        <f>(T46*O46)/V46</f>
        <v>0</v>
      </c>
      <c r="O46" s="506">
        <v>0</v>
      </c>
      <c r="P46" s="508">
        <f>(T46*Q46)/V46</f>
        <v>0</v>
      </c>
      <c r="Q46" s="509">
        <f>'Dépenses BP 2017'!AG55</f>
        <v>0</v>
      </c>
      <c r="R46" s="511">
        <f>(T46*S46)/V46</f>
        <v>0</v>
      </c>
      <c r="S46" s="513">
        <v>0</v>
      </c>
      <c r="T46" s="501">
        <f>'Dépenses BP 2017'!AQ55</f>
        <v>22579.833078846001</v>
      </c>
      <c r="U46" s="501"/>
      <c r="V46" s="502">
        <f>'Dépenses BP 2017'!AR55</f>
        <v>0.68700000000000006</v>
      </c>
      <c r="W46" s="54"/>
      <c r="X46" s="520"/>
      <c r="Y46" s="520"/>
      <c r="Z46" s="520"/>
      <c r="AA46" s="520"/>
      <c r="AB46" s="518"/>
      <c r="AC46" s="590"/>
      <c r="AD46" s="596"/>
      <c r="AE46" s="596"/>
      <c r="AF46" s="54"/>
      <c r="AN46" s="212"/>
      <c r="AO46" s="205"/>
      <c r="AQ46" s="220">
        <f>(AR46*AU46)/AV46</f>
        <v>2465.0472793499998</v>
      </c>
      <c r="AR46" s="61">
        <v>7.4999999999999997E-2</v>
      </c>
      <c r="AS46" s="61">
        <f>(AT46*AU46)/AV46</f>
        <v>0</v>
      </c>
      <c r="AT46" s="61"/>
      <c r="AU46" s="220">
        <f>'Dépenses BP 2017'!B55</f>
        <v>164.33648528999998</v>
      </c>
      <c r="AV46" s="61">
        <f>'Dépenses BP 2017'!D55</f>
        <v>5.0000000000000001E-3</v>
      </c>
      <c r="AW46" s="61">
        <f>'Dépenses BP 2017'!E55</f>
        <v>0</v>
      </c>
      <c r="AX46" s="61">
        <f>'Dépenses BP 2017'!F55</f>
        <v>0</v>
      </c>
      <c r="AY46" s="61">
        <f>'Dépenses BP 2017'!G55</f>
        <v>164.33648528999998</v>
      </c>
      <c r="AZ46" s="61"/>
      <c r="BA46" s="61">
        <f>'Dépenses BP 2017'!I55</f>
        <v>5.0000000000000001E-3</v>
      </c>
      <c r="BB46" s="58"/>
      <c r="BC46" s="211"/>
      <c r="BD46" s="78">
        <f>'Dépenses BP 2017'!Q55</f>
        <v>0</v>
      </c>
      <c r="BE46" s="78"/>
      <c r="BF46" s="78">
        <f>'Dépenses BP 2017'!S55</f>
        <v>0</v>
      </c>
      <c r="BG46" s="211"/>
      <c r="BH46" s="82">
        <f>'Dépenses BP 2017'!T55</f>
        <v>5751.7769851499997</v>
      </c>
      <c r="BI46" s="82"/>
      <c r="BJ46" s="82">
        <f>'Dépenses BP 2017'!V55</f>
        <v>0</v>
      </c>
    </row>
    <row r="47" spans="1:62">
      <c r="A47" s="1584"/>
      <c r="B47" s="489">
        <f>($C$46*T47)/$V$46</f>
        <v>169.06410998218036</v>
      </c>
      <c r="C47" s="490"/>
      <c r="D47" s="489">
        <f>(T47*$E$46)/$V$46</f>
        <v>308.87884506707996</v>
      </c>
      <c r="E47" s="489"/>
      <c r="F47" s="489">
        <f>(T47*$G$46)/$V$46</f>
        <v>522.28396498921143</v>
      </c>
      <c r="G47" s="489"/>
      <c r="H47" s="491"/>
      <c r="I47" s="491"/>
      <c r="J47" s="489">
        <f>(T47*$K$46)/$V$46</f>
        <v>48.617530213558368</v>
      </c>
      <c r="K47" s="489"/>
      <c r="L47" s="489">
        <f>($M$46*T47)/$V$46</f>
        <v>12.154382553389592</v>
      </c>
      <c r="M47" s="489"/>
      <c r="N47" s="506">
        <f>(T47*$O$46)/$V$46</f>
        <v>0</v>
      </c>
      <c r="O47" s="506"/>
      <c r="P47" s="508">
        <f>(T47*$Q$46)/$V$46</f>
        <v>0</v>
      </c>
      <c r="Q47" s="509"/>
      <c r="R47" s="511">
        <f>(T47*$S$46)/$V$46</f>
        <v>0</v>
      </c>
      <c r="S47" s="513"/>
      <c r="T47" s="501">
        <f>'Dépenses BP 2017'!AQ56</f>
        <v>1060.9988328054196</v>
      </c>
      <c r="U47" s="501"/>
      <c r="V47" s="502"/>
      <c r="W47" s="54"/>
      <c r="X47" s="520"/>
      <c r="Y47" s="520"/>
      <c r="Z47" s="520"/>
      <c r="AA47" s="520"/>
      <c r="AB47" s="518"/>
      <c r="AC47" s="590"/>
      <c r="AD47" s="596"/>
      <c r="AE47" s="596"/>
      <c r="AF47" s="54"/>
      <c r="AN47" s="212"/>
      <c r="AO47" s="205"/>
      <c r="AQ47" s="220"/>
      <c r="AR47" s="61"/>
      <c r="AS47" s="61"/>
      <c r="AT47" s="61"/>
      <c r="AU47" s="220"/>
      <c r="AV47" s="61"/>
      <c r="AW47" s="61"/>
      <c r="AX47" s="61"/>
      <c r="AY47" s="61"/>
      <c r="AZ47" s="61"/>
      <c r="BA47" s="61"/>
      <c r="BB47" s="58"/>
      <c r="BC47" s="211"/>
      <c r="BD47" s="78"/>
      <c r="BE47" s="78"/>
      <c r="BF47" s="78"/>
      <c r="BG47" s="211"/>
      <c r="BH47" s="82"/>
      <c r="BI47" s="82"/>
      <c r="BJ47" s="82"/>
    </row>
    <row r="48" spans="1:62">
      <c r="A48" s="1584"/>
      <c r="B48" s="489">
        <f>($C$46*T48)/$V$46</f>
        <v>105.02713218405066</v>
      </c>
      <c r="C48" s="490"/>
      <c r="D48" s="489">
        <f>(T48*$E$46)/$V$46</f>
        <v>191.88377292576416</v>
      </c>
      <c r="E48" s="489"/>
      <c r="F48" s="489">
        <f>(T48*$G$46)/$V$46</f>
        <v>324.45672256704103</v>
      </c>
      <c r="G48" s="489"/>
      <c r="H48" s="491"/>
      <c r="I48" s="491"/>
      <c r="J48" s="489">
        <f>(T48*$K$46)/$V$46</f>
        <v>30.20250585851527</v>
      </c>
      <c r="K48" s="489"/>
      <c r="L48" s="489">
        <f>($M$46*T48)/$V$46</f>
        <v>7.5506264646288175</v>
      </c>
      <c r="M48" s="489"/>
      <c r="N48" s="506">
        <f>(T48*$O$46)/$V$46</f>
        <v>0</v>
      </c>
      <c r="O48" s="506"/>
      <c r="P48" s="508">
        <f>(T48*$Q$46)/$V$46</f>
        <v>0</v>
      </c>
      <c r="Q48" s="509"/>
      <c r="R48" s="511">
        <f>(T48*$S$46)/$V$46</f>
        <v>0</v>
      </c>
      <c r="S48" s="513"/>
      <c r="T48" s="501">
        <f>'Dépenses BP 2017'!AQ57</f>
        <v>659.1207599999999</v>
      </c>
      <c r="U48" s="501"/>
      <c r="V48" s="502"/>
      <c r="W48" s="54"/>
      <c r="X48" s="520"/>
      <c r="Y48" s="520"/>
      <c r="Z48" s="520"/>
      <c r="AA48" s="520"/>
      <c r="AB48" s="518"/>
      <c r="AC48" s="590"/>
      <c r="AD48" s="596"/>
      <c r="AE48" s="596"/>
      <c r="AF48" s="54"/>
      <c r="AN48" s="212"/>
      <c r="AO48" s="205"/>
      <c r="AQ48" s="220"/>
      <c r="AR48" s="61"/>
      <c r="AS48" s="61"/>
      <c r="AT48" s="61"/>
      <c r="AU48" s="220"/>
      <c r="AV48" s="61"/>
      <c r="AW48" s="61"/>
      <c r="AX48" s="61"/>
      <c r="AY48" s="61"/>
      <c r="AZ48" s="61"/>
      <c r="BA48" s="61"/>
      <c r="BB48" s="58"/>
      <c r="BC48" s="211"/>
      <c r="BD48" s="78"/>
      <c r="BE48" s="78"/>
      <c r="BF48" s="78"/>
      <c r="BG48" s="211"/>
      <c r="BH48" s="82"/>
      <c r="BI48" s="82"/>
      <c r="BJ48" s="82"/>
    </row>
    <row r="49" spans="1:62">
      <c r="A49" s="1584" t="str">
        <f>'Dépenses BP 2017'!A58</f>
        <v>XX</v>
      </c>
      <c r="B49" s="489"/>
      <c r="C49" s="489"/>
      <c r="D49" s="489"/>
      <c r="E49" s="489"/>
      <c r="F49" s="489"/>
      <c r="G49" s="489"/>
      <c r="H49" s="491"/>
      <c r="I49" s="491"/>
      <c r="J49" s="489"/>
      <c r="K49" s="489"/>
      <c r="L49" s="489"/>
      <c r="M49" s="489"/>
      <c r="N49" s="506"/>
      <c r="O49" s="506"/>
      <c r="P49" s="508"/>
      <c r="Q49" s="509"/>
      <c r="R49" s="511"/>
      <c r="S49" s="513"/>
      <c r="T49" s="501">
        <f>'Dépenses BP 2017'!AQ58</f>
        <v>21263.35459099344</v>
      </c>
      <c r="U49" s="501"/>
      <c r="V49" s="502"/>
      <c r="W49" s="54"/>
      <c r="X49" s="520"/>
      <c r="Y49" s="520"/>
      <c r="Z49" s="520"/>
      <c r="AA49" s="520"/>
      <c r="AB49" s="518"/>
      <c r="AC49" s="590"/>
      <c r="AD49" s="596"/>
      <c r="AE49" s="596"/>
      <c r="AF49" s="54"/>
      <c r="AN49" s="212"/>
      <c r="AO49" s="205"/>
      <c r="AQ49" s="220" t="e">
        <f>(AR49*AU49)/AV49</f>
        <v>#DIV/0!</v>
      </c>
      <c r="AR49" s="61">
        <v>7.4999999999999997E-2</v>
      </c>
      <c r="AS49" s="61" t="e">
        <f>(AT49*AU49)/AV49</f>
        <v>#DIV/0!</v>
      </c>
      <c r="AT49" s="61"/>
      <c r="AU49" s="220">
        <f>'Dépenses BP 2017'!B58</f>
        <v>0</v>
      </c>
      <c r="AV49" s="61">
        <f>'Dépenses BP 2017'!D58</f>
        <v>0</v>
      </c>
      <c r="AW49" s="61">
        <f>'Dépenses BP 2017'!E58</f>
        <v>0</v>
      </c>
      <c r="AX49" s="61">
        <f>'Dépenses BP 2017'!F58</f>
        <v>0</v>
      </c>
      <c r="AY49" s="61">
        <f>'Dépenses BP 2017'!G58</f>
        <v>0</v>
      </c>
      <c r="AZ49" s="61"/>
      <c r="BA49" s="61">
        <f>'Dépenses BP 2017'!I58</f>
        <v>0</v>
      </c>
      <c r="BB49" s="58"/>
      <c r="BC49" s="211"/>
      <c r="BD49" s="78">
        <f>'Dépenses BP 2017'!Q58</f>
        <v>0</v>
      </c>
      <c r="BE49" s="78"/>
      <c r="BF49" s="78">
        <f>'Dépenses BP 2017'!S58</f>
        <v>0</v>
      </c>
      <c r="BG49" s="211"/>
      <c r="BH49" s="82">
        <f>'Dépenses BP 2017'!T58</f>
        <v>6529.5072640721137</v>
      </c>
      <c r="BI49" s="82"/>
      <c r="BJ49" s="82">
        <f>'Dépenses BP 2017'!V58</f>
        <v>0</v>
      </c>
    </row>
    <row r="50" spans="1:62">
      <c r="A50" s="1584"/>
      <c r="B50" s="489"/>
      <c r="C50" s="489"/>
      <c r="D50" s="489"/>
      <c r="E50" s="489"/>
      <c r="F50" s="489"/>
      <c r="G50" s="489"/>
      <c r="H50" s="491"/>
      <c r="I50" s="491"/>
      <c r="J50" s="489"/>
      <c r="K50" s="489"/>
      <c r="L50" s="489"/>
      <c r="M50" s="489"/>
      <c r="N50" s="506"/>
      <c r="O50" s="506"/>
      <c r="P50" s="508"/>
      <c r="Q50" s="508"/>
      <c r="R50" s="511"/>
      <c r="S50" s="513"/>
      <c r="T50" s="501">
        <f>'Dépenses BP 2017'!AQ59</f>
        <v>1013.0127240752913</v>
      </c>
      <c r="U50" s="501"/>
      <c r="V50" s="502"/>
      <c r="W50" s="54"/>
      <c r="X50" s="520"/>
      <c r="Y50" s="520"/>
      <c r="Z50" s="520"/>
      <c r="AA50" s="520"/>
      <c r="AB50" s="518"/>
      <c r="AC50" s="590"/>
      <c r="AD50" s="596"/>
      <c r="AE50" s="596"/>
      <c r="AF50" s="54"/>
      <c r="AN50" s="212"/>
      <c r="AO50" s="205"/>
      <c r="AQ50" s="220"/>
      <c r="AR50" s="61"/>
      <c r="AS50" s="61"/>
      <c r="AT50" s="61"/>
      <c r="AU50" s="220"/>
      <c r="AV50" s="61"/>
      <c r="AW50" s="61"/>
      <c r="AX50" s="61"/>
      <c r="AY50" s="61"/>
      <c r="AZ50" s="61"/>
      <c r="BA50" s="61"/>
      <c r="BB50" s="58"/>
      <c r="BC50" s="211"/>
      <c r="BD50" s="78"/>
      <c r="BE50" s="78"/>
      <c r="BF50" s="78"/>
      <c r="BG50" s="211"/>
      <c r="BH50" s="82"/>
      <c r="BI50" s="82"/>
      <c r="BJ50" s="82"/>
    </row>
    <row r="51" spans="1:62">
      <c r="A51" s="1584"/>
      <c r="B51" s="489"/>
      <c r="C51" s="489"/>
      <c r="D51" s="489"/>
      <c r="E51" s="489"/>
      <c r="F51" s="489"/>
      <c r="G51" s="489"/>
      <c r="H51" s="491"/>
      <c r="I51" s="491"/>
      <c r="J51" s="489"/>
      <c r="K51" s="489"/>
      <c r="L51" s="489"/>
      <c r="M51" s="489"/>
      <c r="N51" s="506"/>
      <c r="O51" s="506"/>
      <c r="P51" s="508"/>
      <c r="Q51" s="508"/>
      <c r="R51" s="511"/>
      <c r="S51" s="513"/>
      <c r="T51" s="501">
        <f>'Dépenses BP 2017'!AQ60</f>
        <v>644.46839999999997</v>
      </c>
      <c r="U51" s="501"/>
      <c r="V51" s="502"/>
      <c r="W51" s="54"/>
      <c r="X51" s="520"/>
      <c r="Y51" s="520"/>
      <c r="Z51" s="520"/>
      <c r="AA51" s="520"/>
      <c r="AB51" s="518"/>
      <c r="AC51" s="590"/>
      <c r="AD51" s="596"/>
      <c r="AE51" s="596"/>
      <c r="AF51" s="54"/>
      <c r="AN51" s="212"/>
      <c r="AO51" s="205"/>
      <c r="AQ51" s="220"/>
      <c r="AR51" s="61"/>
      <c r="AS51" s="61"/>
      <c r="AT51" s="61"/>
      <c r="AU51" s="220"/>
      <c r="AV51" s="61"/>
      <c r="AW51" s="61"/>
      <c r="AX51" s="61"/>
      <c r="AY51" s="61"/>
      <c r="AZ51" s="61"/>
      <c r="BA51" s="61"/>
      <c r="BB51" s="58"/>
      <c r="BC51" s="211"/>
      <c r="BD51" s="78"/>
      <c r="BE51" s="78"/>
      <c r="BF51" s="78"/>
      <c r="BG51" s="211"/>
      <c r="BH51" s="82"/>
      <c r="BI51" s="82"/>
      <c r="BJ51" s="82"/>
    </row>
    <row r="52" spans="1:62">
      <c r="A52" s="1584" t="e">
        <f>'Dépenses BP 2017'!#REF!</f>
        <v>#REF!</v>
      </c>
      <c r="B52" s="489" t="e">
        <f>(C52*T52)/V52</f>
        <v>#REF!</v>
      </c>
      <c r="C52" s="489">
        <v>0.25</v>
      </c>
      <c r="D52" s="489"/>
      <c r="E52" s="489"/>
      <c r="F52" s="489"/>
      <c r="G52" s="489"/>
      <c r="H52" s="491"/>
      <c r="I52" s="491"/>
      <c r="J52" s="489"/>
      <c r="K52" s="489"/>
      <c r="L52" s="489"/>
      <c r="M52" s="489"/>
      <c r="N52" s="506"/>
      <c r="O52" s="506"/>
      <c r="P52" s="508"/>
      <c r="Q52" s="508"/>
      <c r="R52" s="513"/>
      <c r="S52" s="513"/>
      <c r="T52" s="501" t="e">
        <f>'Dépenses BP 2017'!#REF!</f>
        <v>#REF!</v>
      </c>
      <c r="U52" s="501"/>
      <c r="V52" s="502" t="e">
        <f>'Dépenses BP 2017'!#REF!</f>
        <v>#REF!</v>
      </c>
      <c r="W52" s="54"/>
      <c r="X52" s="520"/>
      <c r="Y52" s="520"/>
      <c r="Z52" s="520"/>
      <c r="AA52" s="520"/>
      <c r="AB52" s="518"/>
      <c r="AC52" s="590"/>
      <c r="AD52" s="596"/>
      <c r="AE52" s="596"/>
      <c r="AF52" s="54"/>
      <c r="AO52" s="205"/>
      <c r="AQ52" s="220"/>
      <c r="AR52" s="61"/>
      <c r="AS52" s="61"/>
      <c r="AT52" s="61"/>
      <c r="AU52" s="220"/>
      <c r="AV52" s="61"/>
      <c r="AW52" s="61"/>
      <c r="AX52" s="61"/>
      <c r="AY52" s="61"/>
      <c r="AZ52" s="61"/>
      <c r="BA52" s="61"/>
      <c r="BB52" s="58"/>
      <c r="BC52" s="211"/>
      <c r="BD52" s="78"/>
      <c r="BE52" s="78"/>
      <c r="BF52" s="78"/>
      <c r="BG52" s="211"/>
      <c r="BH52" s="82"/>
      <c r="BI52" s="82"/>
      <c r="BJ52" s="82"/>
    </row>
    <row r="53" spans="1:62" hidden="1">
      <c r="A53" s="1584" t="e">
        <f>'Dépenses BP 2017'!#REF!</f>
        <v>#REF!</v>
      </c>
      <c r="B53" s="74"/>
      <c r="C53" s="74"/>
      <c r="D53" s="74"/>
      <c r="E53" s="74"/>
      <c r="F53" s="74"/>
      <c r="G53" s="74"/>
      <c r="H53" s="126"/>
      <c r="I53" s="126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 t="e">
        <f>'Dépenses BP 2017'!#REF!</f>
        <v>#REF!</v>
      </c>
      <c r="U53" s="74"/>
      <c r="V53" s="133" t="e">
        <f>'Dépenses BP 2017'!#REF!</f>
        <v>#REF!</v>
      </c>
      <c r="W53" s="54"/>
      <c r="X53" s="69"/>
      <c r="Y53" s="69"/>
      <c r="Z53" s="69"/>
      <c r="AA53" s="69"/>
      <c r="AB53" s="69"/>
      <c r="AC53" s="591"/>
      <c r="AD53" s="69"/>
      <c r="AE53" s="69"/>
      <c r="AF53" s="54"/>
      <c r="AO53" s="205"/>
      <c r="AQ53" s="220"/>
      <c r="AR53" s="61"/>
      <c r="AS53" s="61"/>
      <c r="AT53" s="61"/>
      <c r="AU53" s="220"/>
      <c r="AV53" s="61"/>
      <c r="AW53" s="61"/>
      <c r="AX53" s="61"/>
      <c r="AY53" s="61"/>
      <c r="AZ53" s="61"/>
      <c r="BA53" s="61"/>
      <c r="BB53" s="58"/>
      <c r="BC53" s="211"/>
      <c r="BD53" s="78"/>
      <c r="BE53" s="78"/>
      <c r="BF53" s="78"/>
      <c r="BG53" s="211"/>
      <c r="BH53" s="82"/>
      <c r="BI53" s="82"/>
      <c r="BJ53" s="82"/>
    </row>
    <row r="54" spans="1:62" ht="13.5" hidden="1" customHeight="1">
      <c r="A54" s="1584" t="e">
        <f>'Dépenses BP 2017'!#REF!</f>
        <v>#REF!</v>
      </c>
      <c r="B54" s="74"/>
      <c r="C54" s="74"/>
      <c r="D54" s="74"/>
      <c r="E54" s="74"/>
      <c r="F54" s="74"/>
      <c r="G54" s="74"/>
      <c r="H54" s="126"/>
      <c r="I54" s="126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 t="e">
        <f>'Dépenses BP 2017'!#REF!</f>
        <v>#REF!</v>
      </c>
      <c r="U54" s="74"/>
      <c r="V54" s="133" t="e">
        <f>'Dépenses BP 2017'!#REF!</f>
        <v>#REF!</v>
      </c>
      <c r="W54" s="54"/>
      <c r="X54" s="69"/>
      <c r="Y54" s="69"/>
      <c r="Z54" s="69"/>
      <c r="AA54" s="69"/>
      <c r="AB54" s="69"/>
      <c r="AC54" s="591"/>
      <c r="AD54" s="69"/>
      <c r="AE54" s="69"/>
      <c r="AF54" s="54"/>
      <c r="AO54" s="205"/>
      <c r="AQ54" s="220"/>
      <c r="AR54" s="61"/>
      <c r="AS54" s="61"/>
      <c r="AT54" s="61"/>
      <c r="AU54" s="220"/>
      <c r="AV54" s="61"/>
      <c r="AW54" s="61"/>
      <c r="AX54" s="61"/>
      <c r="AY54" s="61"/>
      <c r="AZ54" s="61"/>
      <c r="BA54" s="61"/>
      <c r="BB54" s="58"/>
      <c r="BC54" s="211"/>
      <c r="BD54" s="78"/>
      <c r="BE54" s="78"/>
      <c r="BF54" s="78"/>
      <c r="BG54" s="211"/>
      <c r="BH54" s="82"/>
      <c r="BI54" s="82"/>
      <c r="BJ54" s="82"/>
    </row>
    <row r="55" spans="1:62">
      <c r="A55" s="222" t="str">
        <f>'Dépenses BP 2017'!A61</f>
        <v>Autre charges de personnel</v>
      </c>
      <c r="B55" s="73">
        <f t="shared" ref="B55:N55" si="2">SUM(B56:B58)</f>
        <v>277.38023786592191</v>
      </c>
      <c r="C55" s="73"/>
      <c r="D55" s="73">
        <f t="shared" si="2"/>
        <v>510.53405318041871</v>
      </c>
      <c r="E55" s="73"/>
      <c r="F55" s="73">
        <f t="shared" si="2"/>
        <v>275.42504525315957</v>
      </c>
      <c r="G55" s="73"/>
      <c r="H55" s="73">
        <f t="shared" si="2"/>
        <v>0</v>
      </c>
      <c r="I55" s="73">
        <f t="shared" si="2"/>
        <v>0</v>
      </c>
      <c r="J55" s="73">
        <f t="shared" si="2"/>
        <v>75.92637534799033</v>
      </c>
      <c r="K55" s="73"/>
      <c r="L55" s="73">
        <f t="shared" si="2"/>
        <v>60.229009718952142</v>
      </c>
      <c r="M55" s="73"/>
      <c r="N55" s="73">
        <f t="shared" si="2"/>
        <v>144.29993858075139</v>
      </c>
      <c r="O55" s="73"/>
      <c r="P55" s="73">
        <f>SUM(P56:P58)</f>
        <v>34.554438965260054</v>
      </c>
      <c r="Q55" s="73"/>
      <c r="R55" s="73">
        <f>SUM(R56:R58)</f>
        <v>0</v>
      </c>
      <c r="S55" s="73"/>
      <c r="T55" s="73">
        <f>'Dépenses BP 2017'!AQ61</f>
        <v>1845.046379092475</v>
      </c>
      <c r="U55" s="73"/>
      <c r="V55" s="131"/>
      <c r="W55" s="53"/>
      <c r="X55" s="73">
        <f>SUM(X56:X58)</f>
        <v>32.564474351642083</v>
      </c>
      <c r="Y55" s="62"/>
      <c r="Z55" s="73">
        <f>SUM(Z56:Z58)</f>
        <v>15.555277828934246</v>
      </c>
      <c r="AA55" s="62"/>
      <c r="AB55" s="62">
        <f>SUM(AB56:AB58)</f>
        <v>16.965918230690747</v>
      </c>
      <c r="AC55" s="592"/>
      <c r="AD55" s="62">
        <f>(AD40+AD41+AD42)*AE55</f>
        <v>5320.0892194971693</v>
      </c>
      <c r="AE55" s="62">
        <v>0.15</v>
      </c>
      <c r="AF55" s="53"/>
      <c r="AO55" s="205"/>
      <c r="AQ55" s="62">
        <f>SUM(AQ56:AQ58)</f>
        <v>55.532397691478856</v>
      </c>
      <c r="AR55" s="62"/>
      <c r="AS55" s="62">
        <f>SUM(AS56:AS58)</f>
        <v>7.9730577041342077</v>
      </c>
      <c r="AT55" s="62"/>
      <c r="AU55" s="62">
        <f>'Dépenses BP 2017'!B61</f>
        <v>39.379608370318891</v>
      </c>
      <c r="AV55" s="62"/>
      <c r="AW55" s="62">
        <f>'Dépenses BP 2017'!E61</f>
        <v>0</v>
      </c>
      <c r="AX55" s="62"/>
      <c r="AY55" s="62">
        <f>'Dépenses BP 2017'!G61</f>
        <v>39.379608370318891</v>
      </c>
      <c r="AZ55" s="62"/>
      <c r="BA55" s="62"/>
      <c r="BB55" s="57"/>
      <c r="BC55" s="211"/>
      <c r="BD55" s="73">
        <f>'Dépenses BP 2017'!Q61</f>
        <v>101.76428586857497</v>
      </c>
      <c r="BE55" s="73"/>
      <c r="BF55" s="73" t="str">
        <f>'Dépenses BP 2017'!S61</f>
        <v>/</v>
      </c>
      <c r="BG55" s="211"/>
      <c r="BH55" s="73">
        <f>'Dépenses BP 2017'!T61</f>
        <v>515.16080216478576</v>
      </c>
      <c r="BI55" s="73"/>
      <c r="BJ55" s="73"/>
    </row>
    <row r="56" spans="1:62">
      <c r="A56" s="1584" t="str">
        <f>'Dépenses BP 2017'!A62</f>
        <v>Participation projet associatif</v>
      </c>
      <c r="B56" s="489">
        <f>'Dépenses BP 2017'!BJ62*C56</f>
        <v>0</v>
      </c>
      <c r="C56" s="494">
        <f>$C$6/$AG$6</f>
        <v>0.11321642361874365</v>
      </c>
      <c r="D56" s="489">
        <f>'Dépenses BP 2017'!BJ62*E56</f>
        <v>0</v>
      </c>
      <c r="E56" s="494">
        <f>$E$6/$AG$6</f>
        <v>0.20838124619608928</v>
      </c>
      <c r="F56" s="489">
        <f>'Dépenses BP 2017'!BJ62*G56</f>
        <v>0</v>
      </c>
      <c r="G56" s="494">
        <f>$G$6/$AG$6</f>
        <v>0.11241838581761615</v>
      </c>
      <c r="H56" s="495"/>
      <c r="I56" s="495"/>
      <c r="J56" s="489">
        <f>'Dépenses BP 2017'!BJ62*K56</f>
        <v>0</v>
      </c>
      <c r="K56" s="494">
        <f>$K$6/$AG$6</f>
        <v>3.0990357284894014E-2</v>
      </c>
      <c r="L56" s="489">
        <f>'Dépenses BP 2017'!BJ62*M56</f>
        <v>0</v>
      </c>
      <c r="M56" s="494">
        <f>$M$6/$AG$6</f>
        <v>2.4583269273041691E-2</v>
      </c>
      <c r="N56" s="506">
        <f>'Dépenses BP 2017'!BJ62*O56</f>
        <v>0</v>
      </c>
      <c r="O56" s="507">
        <f>$O$6/$AG$6</f>
        <v>5.8897934114592404E-2</v>
      </c>
      <c r="P56" s="508">
        <f>'Dépenses BP 2017'!BJ62*Q56</f>
        <v>0</v>
      </c>
      <c r="Q56" s="510">
        <f>$Q$6/$AG$6</f>
        <v>1.4103852638881654E-2</v>
      </c>
      <c r="R56" s="513">
        <f>'Dépenses BP 2017'!BJ62*S56</f>
        <v>0</v>
      </c>
      <c r="S56" s="514">
        <f>$S$6/$AG$6</f>
        <v>0</v>
      </c>
      <c r="T56" s="501">
        <f>'Dépenses BP 2017'!AQ62</f>
        <v>0</v>
      </c>
      <c r="U56" s="503" t="e">
        <f>'Dépenses BP 2017'!#REF!</f>
        <v>#REF!</v>
      </c>
      <c r="V56" s="502"/>
      <c r="W56" s="54"/>
      <c r="X56" s="520">
        <f>'Dépenses BP 2017'!BJ62*Y56</f>
        <v>0</v>
      </c>
      <c r="Y56" s="521">
        <f>$Y$6/$AG$6</f>
        <v>1.3291622184343706E-2</v>
      </c>
      <c r="Z56" s="520">
        <f>'Dépenses BP 2017'!BJ62*AA56</f>
        <v>0</v>
      </c>
      <c r="AA56" s="521">
        <f>$AA$6/$AG$6</f>
        <v>6.349092991401733E-3</v>
      </c>
      <c r="AB56" s="518">
        <f>'Dépenses BP 2017'!BJ62*AC56</f>
        <v>0</v>
      </c>
      <c r="AC56" s="593">
        <f>$AC$6/$AG$6</f>
        <v>6.9248645839554077E-3</v>
      </c>
      <c r="AD56" s="597"/>
      <c r="AE56" s="597"/>
      <c r="AF56" s="54"/>
      <c r="AO56" s="205"/>
      <c r="AQ56" s="61">
        <f>'Dépenses BP 2017'!BJ62*AR56</f>
        <v>0</v>
      </c>
      <c r="AR56" s="94">
        <f>$AR$6/$AG$6</f>
        <v>2.2666284772032187E-2</v>
      </c>
      <c r="AS56" s="61">
        <f>'Dépenses BP 2017'!BJ62*AT56</f>
        <v>0</v>
      </c>
      <c r="AT56" s="94">
        <f>$AT$6/$AG$6</f>
        <v>3.2543092669935539E-3</v>
      </c>
      <c r="AU56" s="61">
        <f>'Dépenses BP 2017'!B62</f>
        <v>0</v>
      </c>
      <c r="AV56" s="94">
        <f>'Dépenses BP 2017'!C62</f>
        <v>1.6073309538905668E-2</v>
      </c>
      <c r="AW56" s="61">
        <f>'Dépenses BP 2017'!E62</f>
        <v>0</v>
      </c>
      <c r="AX56" s="94">
        <f>'Dépenses BP 2017'!F62</f>
        <v>0</v>
      </c>
      <c r="AY56" s="61">
        <f>'Dépenses BP 2017'!G62</f>
        <v>0</v>
      </c>
      <c r="AZ56" s="94">
        <f>'Dépenses BP 2017'!H62</f>
        <v>1.6073309538905668E-2</v>
      </c>
      <c r="BA56" s="61"/>
      <c r="BB56" s="58">
        <f>AQ56+AS56-AU56</f>
        <v>0</v>
      </c>
      <c r="BC56" s="211"/>
      <c r="BD56" s="78">
        <f>'Dépenses BP 2017'!Q62</f>
        <v>0</v>
      </c>
      <c r="BE56" s="89">
        <f>'Dépenses BP 2017'!R62</f>
        <v>4.1536443211663256E-2</v>
      </c>
      <c r="BF56" s="78"/>
      <c r="BG56" s="211"/>
      <c r="BH56" s="82">
        <f>'Dépenses BP 2017'!T62</f>
        <v>0</v>
      </c>
      <c r="BI56" s="87">
        <f>'Dépenses BP 2017'!U62</f>
        <v>0.21026971516930029</v>
      </c>
      <c r="BJ56" s="82"/>
    </row>
    <row r="57" spans="1:62">
      <c r="A57" s="1584" t="str">
        <f>'Dépenses BP 2017'!A63</f>
        <v>Indemnités stage</v>
      </c>
      <c r="B57" s="489">
        <f>'Dépenses BP 2017'!BJ63*C57</f>
        <v>113.21642361874365</v>
      </c>
      <c r="C57" s="494">
        <f>$C$6/$AG$6</f>
        <v>0.11321642361874365</v>
      </c>
      <c r="D57" s="489">
        <f>'Dépenses BP 2017'!BJ63*E57</f>
        <v>208.38124619608928</v>
      </c>
      <c r="E57" s="494">
        <f>$E$6/$AG$6</f>
        <v>0.20838124619608928</v>
      </c>
      <c r="F57" s="489">
        <f>'Dépenses BP 2017'!BJ63*G57</f>
        <v>112.41838581761616</v>
      </c>
      <c r="G57" s="494">
        <f>$G$6/$AG$6</f>
        <v>0.11241838581761615</v>
      </c>
      <c r="H57" s="495"/>
      <c r="I57" s="495"/>
      <c r="J57" s="489">
        <f>'Dépenses BP 2017'!BJ63*K57</f>
        <v>30.990357284894014</v>
      </c>
      <c r="K57" s="494">
        <f>$K$6/$AG$6</f>
        <v>3.0990357284894014E-2</v>
      </c>
      <c r="L57" s="489">
        <f>'Dépenses BP 2017'!BJ63*M57</f>
        <v>24.58326927304169</v>
      </c>
      <c r="M57" s="494">
        <f>$M$6/$AG$6</f>
        <v>2.4583269273041691E-2</v>
      </c>
      <c r="N57" s="506">
        <f>'Dépenses BP 2017'!BJ63*O57</f>
        <v>58.897934114592402</v>
      </c>
      <c r="O57" s="507">
        <f>$O$6/$AG$6</f>
        <v>5.8897934114592404E-2</v>
      </c>
      <c r="P57" s="508">
        <f>'Dépenses BP 2017'!BJ63*Q57</f>
        <v>14.103852638881655</v>
      </c>
      <c r="Q57" s="510">
        <f>$Q$6/$AG$6</f>
        <v>1.4103852638881654E-2</v>
      </c>
      <c r="R57" s="513">
        <f>'Dépenses BP 2017'!BJ63*S57</f>
        <v>0</v>
      </c>
      <c r="S57" s="514">
        <f>$S$6/$AG$6</f>
        <v>0</v>
      </c>
      <c r="T57" s="501">
        <f>'Dépenses BP 2017'!AQ63</f>
        <v>753.08015473162243</v>
      </c>
      <c r="U57" s="503" t="e">
        <f>'Dépenses BP 2017'!#REF!</f>
        <v>#REF!</v>
      </c>
      <c r="V57" s="502"/>
      <c r="W57" s="54"/>
      <c r="X57" s="520">
        <f>'Dépenses BP 2017'!BJ63*Y57</f>
        <v>13.291622184343707</v>
      </c>
      <c r="Y57" s="521">
        <f>$Y$6/$AG$6</f>
        <v>1.3291622184343706E-2</v>
      </c>
      <c r="Z57" s="520">
        <f>'Dépenses BP 2017'!BJ63*AA57</f>
        <v>6.3490929914017329</v>
      </c>
      <c r="AA57" s="521">
        <f>$AA$6/$AG$6</f>
        <v>6.349092991401733E-3</v>
      </c>
      <c r="AB57" s="518">
        <f>'Dépenses BP 2017'!BJ63*AC57</f>
        <v>6.9248645839554079</v>
      </c>
      <c r="AC57" s="593">
        <f>$AC$6/$AG$6</f>
        <v>6.9248645839554077E-3</v>
      </c>
      <c r="AD57" s="597"/>
      <c r="AE57" s="597"/>
      <c r="AF57" s="54"/>
      <c r="AO57" s="205"/>
      <c r="AQ57" s="61">
        <f>'Dépenses BP 2017'!BJ63*AR57</f>
        <v>22.666284772032185</v>
      </c>
      <c r="AR57" s="94">
        <f>$AR$6/$AG$6</f>
        <v>2.2666284772032187E-2</v>
      </c>
      <c r="AS57" s="61">
        <f>'Dépenses BP 2017'!BJ63*AT57</f>
        <v>3.2543092669935541</v>
      </c>
      <c r="AT57" s="94">
        <f>$AT$6/$AG$6</f>
        <v>3.2543092669935539E-3</v>
      </c>
      <c r="AU57" s="61">
        <f>'Dépenses BP 2017'!B63</f>
        <v>16.073309538905669</v>
      </c>
      <c r="AV57" s="94">
        <f>'Dépenses BP 2017'!C63</f>
        <v>1.6073309538905668E-2</v>
      </c>
      <c r="AW57" s="61">
        <f>'Dépenses BP 2017'!E63</f>
        <v>0</v>
      </c>
      <c r="AX57" s="94">
        <f>'Dépenses BP 2017'!F63</f>
        <v>0</v>
      </c>
      <c r="AY57" s="61">
        <f>'Dépenses BP 2017'!G63</f>
        <v>16.073309538905669</v>
      </c>
      <c r="AZ57" s="94">
        <f>'Dépenses BP 2017'!H63</f>
        <v>1.6073309538905668E-2</v>
      </c>
      <c r="BA57" s="61"/>
      <c r="BB57" s="58">
        <f t="shared" ref="BB57:BB122" si="3">AQ57+AS57-AU57</f>
        <v>9.8472845001200717</v>
      </c>
      <c r="BC57" s="211"/>
      <c r="BD57" s="78">
        <f>'Dépenses BP 2017'!Q63</f>
        <v>41.536443211663254</v>
      </c>
      <c r="BE57" s="89">
        <f>'Dépenses BP 2017'!R63</f>
        <v>4.1536443211663256E-2</v>
      </c>
      <c r="BF57" s="78"/>
      <c r="BG57" s="211"/>
      <c r="BH57" s="82">
        <f>'Dépenses BP 2017'!T63</f>
        <v>210.2697151693003</v>
      </c>
      <c r="BI57" s="87">
        <f>'Dépenses BP 2017'!U63</f>
        <v>0.21026971516930029</v>
      </c>
      <c r="BJ57" s="82"/>
    </row>
    <row r="58" spans="1:62">
      <c r="A58" s="1584" t="str">
        <f>'Dépenses BP 2017'!A64</f>
        <v>Médecine du travail</v>
      </c>
      <c r="B58" s="489">
        <f>'Dépenses BP 2017'!BJ64*C58</f>
        <v>164.16381424717829</v>
      </c>
      <c r="C58" s="494">
        <f>$C$6/$AG$6</f>
        <v>0.11321642361874365</v>
      </c>
      <c r="D58" s="489">
        <f>'Dépenses BP 2017'!BJ64*E58</f>
        <v>302.15280698432946</v>
      </c>
      <c r="E58" s="494">
        <f>$E$6/$AG$6</f>
        <v>0.20838124619608928</v>
      </c>
      <c r="F58" s="489">
        <f>'Dépenses BP 2017'!BJ64*G58</f>
        <v>163.00665943554341</v>
      </c>
      <c r="G58" s="494">
        <f>$G$6/$AG$6</f>
        <v>0.11241838581761615</v>
      </c>
      <c r="H58" s="495"/>
      <c r="I58" s="495"/>
      <c r="J58" s="489">
        <f>'Dépenses BP 2017'!BJ64*K58</f>
        <v>44.93601806309632</v>
      </c>
      <c r="K58" s="494">
        <f>$K$6/$AG$6</f>
        <v>3.0990357284894014E-2</v>
      </c>
      <c r="L58" s="489">
        <f>'Dépenses BP 2017'!BJ64*M58</f>
        <v>35.645740445910455</v>
      </c>
      <c r="M58" s="494">
        <f>$M$6/$AG$6</f>
        <v>2.4583269273041691E-2</v>
      </c>
      <c r="N58" s="506">
        <f>'Dépenses BP 2017'!BJ64*O58</f>
        <v>85.402004466158985</v>
      </c>
      <c r="O58" s="507">
        <f>$O$6/$AG$6</f>
        <v>5.8897934114592404E-2</v>
      </c>
      <c r="P58" s="508">
        <f>'Dépenses BP 2017'!BJ64*Q58</f>
        <v>20.450586326378399</v>
      </c>
      <c r="Q58" s="510">
        <f>$Q$6/$AG$6</f>
        <v>1.4103852638881654E-2</v>
      </c>
      <c r="R58" s="513">
        <f>'Dépenses BP 2017'!BJ64*S58</f>
        <v>0</v>
      </c>
      <c r="S58" s="514">
        <f>$S$6/$AG$6</f>
        <v>0</v>
      </c>
      <c r="T58" s="501">
        <f>'Dépenses BP 2017'!AQ64</f>
        <v>1091.9662243608527</v>
      </c>
      <c r="U58" s="503" t="e">
        <f>'Dépenses BP 2017'!#REF!</f>
        <v>#REF!</v>
      </c>
      <c r="V58" s="502"/>
      <c r="W58" s="54"/>
      <c r="X58" s="520">
        <f>'Dépenses BP 2017'!BJ64*Y58</f>
        <v>19.272852167298375</v>
      </c>
      <c r="Y58" s="521">
        <f>$Y$6/$AG$6</f>
        <v>1.3291622184343706E-2</v>
      </c>
      <c r="Z58" s="520">
        <f>'Dépenses BP 2017'!BJ64*AA58</f>
        <v>9.206184837532513</v>
      </c>
      <c r="AA58" s="521">
        <f>$AA$6/$AG$6</f>
        <v>6.349092991401733E-3</v>
      </c>
      <c r="AB58" s="518">
        <f>'Dépenses BP 2017'!BJ64*AC58</f>
        <v>10.041053646735341</v>
      </c>
      <c r="AC58" s="593">
        <f>$AC$6/$AG$6</f>
        <v>6.9248645839554077E-3</v>
      </c>
      <c r="AD58" s="597"/>
      <c r="AE58" s="597"/>
      <c r="AF58" s="54"/>
      <c r="AO58" s="205"/>
      <c r="AQ58" s="61">
        <f>'Dépenses BP 2017'!BJ64*AR58</f>
        <v>32.866112919446671</v>
      </c>
      <c r="AR58" s="94">
        <f>$AR$6/$AG$6</f>
        <v>2.2666284772032187E-2</v>
      </c>
      <c r="AS58" s="61">
        <f>'Dépenses BP 2017'!BJ64*AT58</f>
        <v>4.7187484371406532</v>
      </c>
      <c r="AT58" s="94">
        <f>$AT$6/$AG$6</f>
        <v>3.2543092669935539E-3</v>
      </c>
      <c r="AU58" s="61">
        <f>'Dépenses BP 2017'!B64</f>
        <v>23.306298831413219</v>
      </c>
      <c r="AV58" s="94">
        <f>'Dépenses BP 2017'!C64</f>
        <v>1.6073309538905668E-2</v>
      </c>
      <c r="AW58" s="61">
        <f>'Dépenses BP 2017'!E64</f>
        <v>0</v>
      </c>
      <c r="AX58" s="94">
        <f>'Dépenses BP 2017'!F64</f>
        <v>0</v>
      </c>
      <c r="AY58" s="61">
        <f>'Dépenses BP 2017'!G64</f>
        <v>23.306298831413219</v>
      </c>
      <c r="AZ58" s="94">
        <f>'Dépenses BP 2017'!H64</f>
        <v>1.6073309538905668E-2</v>
      </c>
      <c r="BA58" s="61"/>
      <c r="BB58" s="58">
        <f t="shared" si="3"/>
        <v>14.278562525174106</v>
      </c>
      <c r="BC58" s="211"/>
      <c r="BD58" s="78">
        <f>'Dépenses BP 2017'!Q64</f>
        <v>60.227842656911719</v>
      </c>
      <c r="BE58" s="89">
        <f>'Dépenses BP 2017'!R64</f>
        <v>4.1536443211663256E-2</v>
      </c>
      <c r="BF58" s="78"/>
      <c r="BG58" s="211"/>
      <c r="BH58" s="82">
        <f>'Dépenses BP 2017'!T64</f>
        <v>304.89108699548547</v>
      </c>
      <c r="BI58" s="87">
        <f>'Dépenses BP 2017'!U64</f>
        <v>0.21026971516930029</v>
      </c>
      <c r="BJ58" s="82"/>
    </row>
    <row r="59" spans="1:62">
      <c r="A59" s="67" t="str">
        <f>'Dépenses BP 2017'!A65</f>
        <v>Achats</v>
      </c>
      <c r="B59" s="73">
        <f>SUM(B60:B63)</f>
        <v>755.77804988285197</v>
      </c>
      <c r="C59" s="73"/>
      <c r="D59" s="73">
        <f>SUM(D60:D63)</f>
        <v>1391.0523477811521</v>
      </c>
      <c r="E59" s="73"/>
      <c r="F59" s="73">
        <f>SUM(F60:F63)</f>
        <v>750.45073575482388</v>
      </c>
      <c r="G59" s="73"/>
      <c r="H59" s="73">
        <f>SUM(H60:H63)</f>
        <v>0</v>
      </c>
      <c r="I59" s="73"/>
      <c r="J59" s="73">
        <f>SUM(J60:J63)</f>
        <v>206.87662659989212</v>
      </c>
      <c r="K59" s="73"/>
      <c r="L59" s="73">
        <f>SUM(L60:L63)</f>
        <v>164.10600791887708</v>
      </c>
      <c r="M59" s="73"/>
      <c r="N59" s="73">
        <f>SUM(N60:N63)</f>
        <v>320.99374092452859</v>
      </c>
      <c r="O59" s="73"/>
      <c r="P59" s="73">
        <f>SUM(P60:P63)</f>
        <v>76.865996881905005</v>
      </c>
      <c r="Q59" s="73"/>
      <c r="R59" s="73">
        <f>SUM(R60:R63)</f>
        <v>0</v>
      </c>
      <c r="S59" s="73"/>
      <c r="T59" s="73">
        <f>'Dépenses BP 2017'!AQ65</f>
        <v>5804.2868432873429</v>
      </c>
      <c r="U59" s="88" t="e">
        <f>'Dépenses BP 2017'!#REF!</f>
        <v>#REF!</v>
      </c>
      <c r="V59" s="131"/>
      <c r="W59" s="53"/>
      <c r="X59" s="73">
        <f>SUM(X60:X63)</f>
        <v>83.029147660965009</v>
      </c>
      <c r="Y59" s="522"/>
      <c r="Z59" s="73">
        <f>SUM(Z60:Z63)</f>
        <v>39.66105658022974</v>
      </c>
      <c r="AA59" s="522"/>
      <c r="AB59" s="62">
        <f>SUM(AB60:AB63)</f>
        <v>43.257745074237562</v>
      </c>
      <c r="AC59" s="594"/>
      <c r="AD59" s="522"/>
      <c r="AE59" s="522"/>
      <c r="AF59" s="53"/>
      <c r="AO59" s="205"/>
      <c r="AQ59" s="62">
        <f>SUM(AQ60:AQ63)</f>
        <v>123.53125200757543</v>
      </c>
      <c r="AR59" s="62"/>
      <c r="AS59" s="62">
        <f>SUM(AS60:AS63)</f>
        <v>17.735985505114868</v>
      </c>
      <c r="AT59" s="62"/>
      <c r="AU59" s="62">
        <f>'Dépenses BP 2017'!B65</f>
        <v>87.59953698703589</v>
      </c>
      <c r="AV59" s="62"/>
      <c r="AW59" s="62">
        <f>'Dépenses BP 2017'!E65</f>
        <v>0</v>
      </c>
      <c r="AX59" s="62"/>
      <c r="AY59" s="62">
        <f>'Dépenses BP 2017'!G65</f>
        <v>87.59953698703589</v>
      </c>
      <c r="AZ59" s="62"/>
      <c r="BA59" s="62"/>
      <c r="BB59" s="58">
        <f t="shared" si="3"/>
        <v>53.667700525654425</v>
      </c>
      <c r="BC59" s="211"/>
      <c r="BD59" s="73">
        <f>'Dépenses BP 2017'!Q65</f>
        <v>226.37361550356474</v>
      </c>
      <c r="BE59" s="88"/>
      <c r="BF59" s="73"/>
      <c r="BG59" s="211"/>
      <c r="BH59" s="73">
        <f>'Dépenses BP 2017'!T65</f>
        <v>1145.9699476726867</v>
      </c>
      <c r="BI59" s="73"/>
      <c r="BJ59" s="73"/>
    </row>
    <row r="60" spans="1:62">
      <c r="A60" s="1584" t="str">
        <f>'Dépenses BP 2017'!A66</f>
        <v>MEF - Fourniture de carburant</v>
      </c>
      <c r="B60" s="489">
        <f>'Dépenses BP 2017'!BJ66*C60</f>
        <v>130.19888716155521</v>
      </c>
      <c r="C60" s="494">
        <f>$C$6/$AG$6</f>
        <v>0.11321642361874365</v>
      </c>
      <c r="D60" s="489">
        <f>'Dépenses BP 2017'!BJ66*E60</f>
        <v>239.63843312550267</v>
      </c>
      <c r="E60" s="494">
        <f>$E$6/$AG$6</f>
        <v>0.20838124619608928</v>
      </c>
      <c r="F60" s="489">
        <f>'Dépenses BP 2017'!BJ66*G60</f>
        <v>129.28114369025857</v>
      </c>
      <c r="G60" s="494">
        <f>$G$6/$AG$6</f>
        <v>0.11241838581761615</v>
      </c>
      <c r="H60" s="495"/>
      <c r="I60" s="495"/>
      <c r="J60" s="489">
        <f>'Dépenses BP 2017'!BJ66*K60</f>
        <v>35.638910877628113</v>
      </c>
      <c r="K60" s="494">
        <f>$K$6/$AG$6</f>
        <v>3.0990357284894014E-2</v>
      </c>
      <c r="L60" s="489">
        <f>'Dépenses BP 2017'!BJ66*M60</f>
        <v>28.270759663997946</v>
      </c>
      <c r="M60" s="494">
        <f>$M$6/$AG$6</f>
        <v>2.4583269273041691E-2</v>
      </c>
      <c r="N60" s="506">
        <f>'Dépenses BP 2017'!BJ66*O60</f>
        <v>67.732624231781259</v>
      </c>
      <c r="O60" s="507">
        <f>$O$6/$AG$6</f>
        <v>5.8897934114592404E-2</v>
      </c>
      <c r="P60" s="508">
        <f>'Dépenses BP 2017'!BJ66*Q60</f>
        <v>16.219430534713901</v>
      </c>
      <c r="Q60" s="510">
        <f>$Q$6/$AG$6</f>
        <v>1.4103852638881654E-2</v>
      </c>
      <c r="R60" s="513">
        <f>'Dépenses BP 2017'!BJ66*S60</f>
        <v>0</v>
      </c>
      <c r="S60" s="514">
        <f>$S$6/$AG$6</f>
        <v>0</v>
      </c>
      <c r="T60" s="501">
        <f>'Dépenses BP 2017'!AQ66</f>
        <v>866.04217794136582</v>
      </c>
      <c r="U60" s="503" t="e">
        <f>'Dépenses BP 2017'!#REF!</f>
        <v>#REF!</v>
      </c>
      <c r="V60" s="502"/>
      <c r="W60" s="54"/>
      <c r="X60" s="520">
        <f>'Dépenses BP 2017'!BJ66*Y60</f>
        <v>15.285365511995263</v>
      </c>
      <c r="Y60" s="521">
        <f>$Y$6/$AG$6</f>
        <v>1.3291622184343706E-2</v>
      </c>
      <c r="Z60" s="520">
        <f>'Dépenses BP 2017'!BJ66*AA60</f>
        <v>7.3014569401119926</v>
      </c>
      <c r="AA60" s="521">
        <f>$AA$6/$AG$6</f>
        <v>6.349092991401733E-3</v>
      </c>
      <c r="AB60" s="518">
        <f>'Dépenses BP 2017'!BJ66*AC60</f>
        <v>7.9635942715487191</v>
      </c>
      <c r="AC60" s="593">
        <f>$AC$6/$AG$6</f>
        <v>6.9248645839554077E-3</v>
      </c>
      <c r="AD60" s="597"/>
      <c r="AE60" s="597"/>
      <c r="AF60" s="54"/>
      <c r="AO60" s="205"/>
      <c r="AQ60" s="61">
        <f>'Dépenses BP 2017'!BJ66*AR60</f>
        <v>26.066227487837015</v>
      </c>
      <c r="AR60" s="94">
        <f>$AR$6/$AG$6</f>
        <v>2.2666284772032187E-2</v>
      </c>
      <c r="AS60" s="61">
        <f>'Dépenses BP 2017'!BJ66*AT60</f>
        <v>3.7424556570425871</v>
      </c>
      <c r="AT60" s="94">
        <f>$AT$6/$AG$6</f>
        <v>3.2543092669935539E-3</v>
      </c>
      <c r="AU60" s="61">
        <f>'Dépenses BP 2017'!B66</f>
        <v>18.484305969741516</v>
      </c>
      <c r="AV60" s="94">
        <f>'Dépenses BP 2017'!C66</f>
        <v>1.6073309538905668E-2</v>
      </c>
      <c r="AW60" s="61">
        <f>'Dépenses BP 2017'!E66</f>
        <v>0</v>
      </c>
      <c r="AX60" s="94">
        <f>'Dépenses BP 2017'!F66</f>
        <v>0</v>
      </c>
      <c r="AY60" s="61">
        <f>'Dépenses BP 2017'!G66</f>
        <v>18.484305969741516</v>
      </c>
      <c r="AZ60" s="94">
        <f>'Dépenses BP 2017'!H66</f>
        <v>1.6073309538905668E-2</v>
      </c>
      <c r="BA60" s="61"/>
      <c r="BB60" s="58">
        <f t="shared" si="3"/>
        <v>11.324377175138086</v>
      </c>
      <c r="BC60" s="211"/>
      <c r="BD60" s="78">
        <f>'Dépenses BP 2017'!Q66</f>
        <v>47.766909693412742</v>
      </c>
      <c r="BE60" s="89">
        <f>'Dépenses BP 2017'!R66</f>
        <v>4.1536443211663256E-2</v>
      </c>
      <c r="BF60" s="78"/>
      <c r="BG60" s="211"/>
      <c r="BH60" s="82">
        <f>'Dépenses BP 2017'!T66</f>
        <v>241.81017244469535</v>
      </c>
      <c r="BI60" s="87">
        <f>'Dépenses BP 2017'!U66</f>
        <v>0.21026971516930029</v>
      </c>
      <c r="BJ60" s="82"/>
    </row>
    <row r="61" spans="1:62">
      <c r="A61" s="1584" t="str">
        <f>'Dépenses BP 2017'!A67</f>
        <v>MEF - Ft Petit équipement</v>
      </c>
      <c r="B61" s="489">
        <f>'Dépenses BP 2017'!BJ67*C61</f>
        <v>283.04105904685912</v>
      </c>
      <c r="C61" s="494">
        <f>$C$6/$AG$6</f>
        <v>0.11321642361874365</v>
      </c>
      <c r="D61" s="489">
        <f>'Dépenses BP 2017'!BJ67*E61</f>
        <v>520.95311549022324</v>
      </c>
      <c r="E61" s="494">
        <f>$E$6/$AG$6</f>
        <v>0.20838124619608928</v>
      </c>
      <c r="F61" s="489">
        <f>'Dépenses BP 2017'!BJ67*G61</f>
        <v>281.04596454404037</v>
      </c>
      <c r="G61" s="494">
        <f>$G$6/$AG$6</f>
        <v>0.11241838581761615</v>
      </c>
      <c r="H61" s="495"/>
      <c r="I61" s="495"/>
      <c r="J61" s="489">
        <f>'Dépenses BP 2017'!BJ67*K61</f>
        <v>77.475893212235036</v>
      </c>
      <c r="K61" s="494">
        <f>$K$6/$AG$6</f>
        <v>3.0990357284894014E-2</v>
      </c>
      <c r="L61" s="489">
        <f>'Dépenses BP 2017'!BJ67*M61</f>
        <v>61.458173182604227</v>
      </c>
      <c r="M61" s="494">
        <f>$M$6/$AG$6</f>
        <v>2.4583269273041691E-2</v>
      </c>
      <c r="N61" s="506">
        <f>'Dépenses BP 2017'!BJ67*O61</f>
        <v>147.24483528648102</v>
      </c>
      <c r="O61" s="507">
        <f>$O$6/$AG$6</f>
        <v>5.8897934114592404E-2</v>
      </c>
      <c r="P61" s="508">
        <f>'Dépenses BP 2017'!BJ67*Q61</f>
        <v>35.259631597204134</v>
      </c>
      <c r="Q61" s="510">
        <f>$Q$6/$AG$6</f>
        <v>1.4103852638881654E-2</v>
      </c>
      <c r="R61" s="513">
        <f>'Dépenses BP 2017'!BJ67*S61</f>
        <v>0</v>
      </c>
      <c r="S61" s="514">
        <f>$S$6/$AG$6</f>
        <v>0</v>
      </c>
      <c r="T61" s="501">
        <f>'Dépenses BP 2017'!AQ67</f>
        <v>1882.7003868290562</v>
      </c>
      <c r="U61" s="503" t="e">
        <f>'Dépenses BP 2017'!#REF!</f>
        <v>#REF!</v>
      </c>
      <c r="V61" s="502"/>
      <c r="W61" s="54"/>
      <c r="X61" s="520">
        <f>'Dépenses BP 2017'!BJ67*Y61</f>
        <v>33.229055460859264</v>
      </c>
      <c r="Y61" s="521">
        <f>$Y$6/$AG$6</f>
        <v>1.3291622184343706E-2</v>
      </c>
      <c r="Z61" s="520">
        <f>'Dépenses BP 2017'!BJ67*AA61</f>
        <v>15.872732478504332</v>
      </c>
      <c r="AA61" s="521">
        <f>$AA$6/$AG$6</f>
        <v>6.349092991401733E-3</v>
      </c>
      <c r="AB61" s="518">
        <f>'Dépenses BP 2017'!BJ67*AC61</f>
        <v>17.312161459888518</v>
      </c>
      <c r="AC61" s="593">
        <f>$AC$6/$AG$6</f>
        <v>6.9248645839554077E-3</v>
      </c>
      <c r="AD61" s="597"/>
      <c r="AE61" s="597"/>
      <c r="AF61" s="54"/>
      <c r="AO61" s="205"/>
      <c r="AQ61" s="61">
        <f>'Dépenses BP 2017'!BJ67*AR61</f>
        <v>56.665711930080469</v>
      </c>
      <c r="AR61" s="94">
        <f>$AR$6/$AG$6</f>
        <v>2.2666284772032187E-2</v>
      </c>
      <c r="AS61" s="61">
        <f>'Dépenses BP 2017'!BJ67*AT61</f>
        <v>8.1357731674838849</v>
      </c>
      <c r="AT61" s="94">
        <f>$AT$6/$AG$6</f>
        <v>3.2543092669935539E-3</v>
      </c>
      <c r="AU61" s="61">
        <f>'Dépenses BP 2017'!B67</f>
        <v>40.183273847264168</v>
      </c>
      <c r="AV61" s="94">
        <f>'Dépenses BP 2017'!C67</f>
        <v>1.6073309538905668E-2</v>
      </c>
      <c r="AW61" s="61">
        <f>'Dépenses BP 2017'!E67</f>
        <v>0</v>
      </c>
      <c r="AX61" s="94">
        <f>'Dépenses BP 2017'!F67</f>
        <v>0</v>
      </c>
      <c r="AY61" s="61">
        <f>'Dépenses BP 2017'!G67</f>
        <v>40.183273847264168</v>
      </c>
      <c r="AZ61" s="94">
        <f>'Dépenses BP 2017'!H67</f>
        <v>1.6073309538905668E-2</v>
      </c>
      <c r="BA61" s="61"/>
      <c r="BB61" s="58">
        <f t="shared" si="3"/>
        <v>24.618211250300185</v>
      </c>
      <c r="BC61" s="211"/>
      <c r="BD61" s="78">
        <f>'Dépenses BP 2017'!Q67</f>
        <v>103.84110802915814</v>
      </c>
      <c r="BE61" s="89">
        <f>'Dépenses BP 2017'!R67</f>
        <v>4.1536443211663256E-2</v>
      </c>
      <c r="BF61" s="78"/>
      <c r="BG61" s="211"/>
      <c r="BH61" s="82">
        <f>'Dépenses BP 2017'!T67</f>
        <v>525.67428792325074</v>
      </c>
      <c r="BI61" s="87">
        <f>'Dépenses BP 2017'!U67</f>
        <v>0.21026971516930029</v>
      </c>
      <c r="BJ61" s="82"/>
    </row>
    <row r="62" spans="1:62">
      <c r="A62" s="1584" t="str">
        <f>'Dépenses BP 2017'!A68</f>
        <v>ML - Ft Petit équipement</v>
      </c>
      <c r="B62" s="489">
        <f>'Dépenses BP 2017'!BJ68*C62</f>
        <v>138.74854116069909</v>
      </c>
      <c r="C62" s="494">
        <f>C6/($C$6+$E$6+$G$6+$K$6+$M$6)</f>
        <v>0.23124756860116516</v>
      </c>
      <c r="D62" s="489">
        <f>'Dépenses BP 2017'!BJ68*E62</f>
        <v>255.3745560124654</v>
      </c>
      <c r="E62" s="494">
        <f>E6/($C$6+$E$6+$G$6+$K$6+$M$6)</f>
        <v>0.42562426002077569</v>
      </c>
      <c r="F62" s="489">
        <f>'Dépenses BP 2017'!BJ68*G62</f>
        <v>137.77053304881591</v>
      </c>
      <c r="G62" s="494">
        <f>G6/($C$6+$E$6+$G$6+$K$6+$M$6)</f>
        <v>0.22961755508135984</v>
      </c>
      <c r="H62" s="495"/>
      <c r="I62" s="495"/>
      <c r="J62" s="489">
        <f>'Dépenses BP 2017'!BJ68*K62</f>
        <v>37.97917939721971</v>
      </c>
      <c r="K62" s="494">
        <f>K6/($C$6+$E$6+$G$6+$K$6+$M$6)</f>
        <v>6.329863232869952E-2</v>
      </c>
      <c r="L62" s="489">
        <f>'Dépenses BP 2017'!BJ68*M62</f>
        <v>30.127190380799842</v>
      </c>
      <c r="M62" s="494">
        <f>M6/($C$6+$E$6+$G$6+$K$6+$M$6)</f>
        <v>5.0211983967999738E-2</v>
      </c>
      <c r="N62" s="506"/>
      <c r="O62" s="507"/>
      <c r="P62" s="508"/>
      <c r="Q62" s="510"/>
      <c r="R62" s="513"/>
      <c r="S62" s="514"/>
      <c r="T62" s="501">
        <f>'Dépenses BP 2017'!AQ68</f>
        <v>600</v>
      </c>
      <c r="U62" s="503" t="e">
        <f>'Dépenses BP 2017'!#REF!</f>
        <v>#REF!</v>
      </c>
      <c r="V62" s="502"/>
      <c r="W62" s="54"/>
      <c r="X62" s="520">
        <f>'Dépenses BP 2017'!BJ68*Y62</f>
        <v>10.589806756291818</v>
      </c>
      <c r="Y62" s="521">
        <f>$Y$6/$V$6</f>
        <v>1.764967792715303E-2</v>
      </c>
      <c r="Z62" s="520">
        <f>'Dépenses BP 2017'!BJ68*AA62</f>
        <v>5.0584997770902982</v>
      </c>
      <c r="AA62" s="521">
        <f>$AA$6/$V$6</f>
        <v>8.4308329618171633E-3</v>
      </c>
      <c r="AB62" s="518">
        <f>'Dépenses BP 2017'!BJ68*AC62</f>
        <v>5.5172330916805876</v>
      </c>
      <c r="AC62" s="593">
        <f>$AC$6/$V$6</f>
        <v>9.1953884861343121E-3</v>
      </c>
      <c r="AD62" s="597"/>
      <c r="AE62" s="597"/>
      <c r="AF62" s="54"/>
      <c r="AO62" s="205"/>
      <c r="AQ62" s="61"/>
      <c r="AR62" s="94"/>
      <c r="AS62" s="61"/>
      <c r="AT62" s="94"/>
      <c r="AU62" s="61"/>
      <c r="AV62" s="94"/>
      <c r="AW62" s="61"/>
      <c r="AX62" s="94"/>
      <c r="AY62" s="61"/>
      <c r="AZ62" s="94"/>
      <c r="BA62" s="61"/>
      <c r="BB62" s="58"/>
      <c r="BC62" s="211"/>
      <c r="BD62" s="78"/>
      <c r="BE62" s="89"/>
      <c r="BF62" s="78"/>
      <c r="BG62" s="211"/>
      <c r="BH62" s="82"/>
      <c r="BI62" s="87"/>
      <c r="BJ62" s="82"/>
    </row>
    <row r="63" spans="1:62">
      <c r="A63" s="1584" t="str">
        <f>'Dépenses BP 2017'!A69</f>
        <v xml:space="preserve">MEF - Ft administratives </v>
      </c>
      <c r="B63" s="489">
        <f>'Dépenses BP 2017'!BJ69*C63</f>
        <v>203.78956251373856</v>
      </c>
      <c r="C63" s="494">
        <f>$C$6/$AG$6</f>
        <v>0.11321642361874365</v>
      </c>
      <c r="D63" s="489">
        <f>'Dépenses BP 2017'!BJ69*E63</f>
        <v>375.08624315296072</v>
      </c>
      <c r="E63" s="494">
        <f>$E$6/$AG$6</f>
        <v>0.20838124619608928</v>
      </c>
      <c r="F63" s="489">
        <f>'Dépenses BP 2017'!BJ69*G63</f>
        <v>202.35309447170908</v>
      </c>
      <c r="G63" s="494">
        <f>$G$6/$AG$6</f>
        <v>0.11241838581761615</v>
      </c>
      <c r="H63" s="495"/>
      <c r="I63" s="495"/>
      <c r="J63" s="489">
        <f>'Dépenses BP 2017'!BJ69*K63</f>
        <v>55.782643112809225</v>
      </c>
      <c r="K63" s="494">
        <f>$K$6/$AG$6</f>
        <v>3.0990357284894014E-2</v>
      </c>
      <c r="L63" s="489">
        <f>'Dépenses BP 2017'!BJ69*M63</f>
        <v>44.249884691475046</v>
      </c>
      <c r="M63" s="494">
        <f>$M$6/$AG$6</f>
        <v>2.4583269273041691E-2</v>
      </c>
      <c r="N63" s="506">
        <f>'Dépenses BP 2017'!BJ69*O63</f>
        <v>106.01628140626633</v>
      </c>
      <c r="O63" s="507">
        <f>$O$6/$AG$6</f>
        <v>5.8897934114592404E-2</v>
      </c>
      <c r="P63" s="508">
        <f>'Dépenses BP 2017'!BJ69*Q63</f>
        <v>25.386934749986978</v>
      </c>
      <c r="Q63" s="510">
        <f>$Q$6/$AG$6</f>
        <v>1.4103852638881654E-2</v>
      </c>
      <c r="R63" s="513">
        <f>'Dépenses BP 2017'!BJ69*S63</f>
        <v>0</v>
      </c>
      <c r="S63" s="514">
        <f>$S$6/$AG$6</f>
        <v>0</v>
      </c>
      <c r="T63" s="501">
        <f>'Dépenses BP 2017'!AQ69</f>
        <v>1355.5442785169205</v>
      </c>
      <c r="U63" s="503" t="e">
        <f>'Dépenses BP 2017'!#REF!</f>
        <v>#REF!</v>
      </c>
      <c r="V63" s="502"/>
      <c r="W63" s="54"/>
      <c r="X63" s="520">
        <f>'Dépenses BP 2017'!BJ69*Y63</f>
        <v>23.924919931818671</v>
      </c>
      <c r="Y63" s="521">
        <f>$Y$6/$AG$6</f>
        <v>1.3291622184343706E-2</v>
      </c>
      <c r="Z63" s="520">
        <f>'Dépenses BP 2017'!BJ69*AA63</f>
        <v>11.428367384523119</v>
      </c>
      <c r="AA63" s="521">
        <f>$AA$6/$AG$6</f>
        <v>6.349092991401733E-3</v>
      </c>
      <c r="AB63" s="518">
        <f>'Dépenses BP 2017'!BJ69*AC63</f>
        <v>12.464756251119734</v>
      </c>
      <c r="AC63" s="593">
        <f>$AC$6/$AG$6</f>
        <v>6.9248645839554077E-3</v>
      </c>
      <c r="AD63" s="597"/>
      <c r="AE63" s="597"/>
      <c r="AF63" s="54"/>
      <c r="AO63" s="205"/>
      <c r="AQ63" s="61">
        <f>'Dépenses BP 2017'!BJ69*AR63</f>
        <v>40.799312589657937</v>
      </c>
      <c r="AR63" s="94">
        <f>$AR$6/$AG$6</f>
        <v>2.2666284772032187E-2</v>
      </c>
      <c r="AS63" s="61">
        <f>'Dépenses BP 2017'!BJ69*AT63</f>
        <v>5.8577566805883974</v>
      </c>
      <c r="AT63" s="94">
        <f>$AT$6/$AG$6</f>
        <v>3.2543092669935539E-3</v>
      </c>
      <c r="AU63" s="61">
        <f>'Dépenses BP 2017'!B69</f>
        <v>28.931957170030202</v>
      </c>
      <c r="AV63" s="94">
        <f>'Dépenses BP 2017'!C69</f>
        <v>1.6073309538905668E-2</v>
      </c>
      <c r="AW63" s="61" t="e">
        <f>'Dépenses BP 2017'!#REF!</f>
        <v>#REF!</v>
      </c>
      <c r="AX63" s="94" t="e">
        <f>'Dépenses BP 2017'!#REF!</f>
        <v>#REF!</v>
      </c>
      <c r="AY63" s="61" t="e">
        <f>'Dépenses BP 2017'!#REF!</f>
        <v>#REF!</v>
      </c>
      <c r="AZ63" s="94" t="e">
        <f>'Dépenses BP 2017'!#REF!</f>
        <v>#REF!</v>
      </c>
      <c r="BA63" s="61"/>
      <c r="BB63" s="58">
        <f t="shared" si="3"/>
        <v>17.72511210021613</v>
      </c>
      <c r="BC63" s="211"/>
      <c r="BD63" s="78" t="e">
        <f>'Dépenses BP 2017'!#REF!</f>
        <v>#REF!</v>
      </c>
      <c r="BE63" s="89" t="e">
        <f>'Dépenses BP 2017'!#REF!</f>
        <v>#REF!</v>
      </c>
      <c r="BF63" s="78"/>
      <c r="BG63" s="211"/>
      <c r="BH63" s="82">
        <f>'Dépenses BP 2017'!T69</f>
        <v>378.48548730474056</v>
      </c>
      <c r="BI63" s="87">
        <f>'Dépenses BP 2017'!U69</f>
        <v>0.21026971516930029</v>
      </c>
      <c r="BJ63" s="82"/>
    </row>
    <row r="64" spans="1:62">
      <c r="A64" s="67" t="str">
        <f>'Dépenses BP 2017'!A71</f>
        <v>Services extérieurs</v>
      </c>
      <c r="B64" s="73">
        <f>SUM(B65:B85)</f>
        <v>5854.033677665494</v>
      </c>
      <c r="C64" s="73"/>
      <c r="D64" s="73">
        <f>SUM(D65:D85)</f>
        <v>10774.680863738697</v>
      </c>
      <c r="E64" s="73"/>
      <c r="F64" s="73">
        <f>SUM(F65:F85)</f>
        <v>5812.7698749898091</v>
      </c>
      <c r="G64" s="73"/>
      <c r="H64" s="73"/>
      <c r="I64" s="73"/>
      <c r="J64" s="73">
        <f>SUM(J65:J85)</f>
        <v>1602.4052821133344</v>
      </c>
      <c r="K64" s="73"/>
      <c r="L64" s="73">
        <f>SUM(L65:L85)</f>
        <v>1271.1166951901491</v>
      </c>
      <c r="M64" s="73"/>
      <c r="N64" s="73">
        <f>SUM(N65:N85)</f>
        <v>3045.4105405486875</v>
      </c>
      <c r="O64" s="73"/>
      <c r="P64" s="73">
        <f>SUM(P65:P85)</f>
        <v>729.26193650914399</v>
      </c>
      <c r="Q64" s="88"/>
      <c r="R64" s="73">
        <f>SUM(R65:R85)</f>
        <v>0</v>
      </c>
      <c r="S64" s="88"/>
      <c r="T64" s="73">
        <f>'Dépenses BP 2017'!AQ71</f>
        <v>50464.95668957461</v>
      </c>
      <c r="U64" s="88"/>
      <c r="V64" s="131"/>
      <c r="W64" s="53"/>
      <c r="X64" s="73">
        <f>SUM(X65:X85)</f>
        <v>687.26428031305534</v>
      </c>
      <c r="Y64" s="523"/>
      <c r="Z64" s="73">
        <f>SUM(Z65:Z85)</f>
        <v>576.42680174773682</v>
      </c>
      <c r="AA64" s="522"/>
      <c r="AB64" s="62">
        <f>SUM(AB65:AB86)</f>
        <v>358.06104089863362</v>
      </c>
      <c r="AC64" s="594"/>
      <c r="AD64" s="522"/>
      <c r="AE64" s="522"/>
      <c r="AF64" s="53"/>
      <c r="AO64" s="205"/>
      <c r="AQ64" s="62">
        <f>SUM(AQ65:AQ85)</f>
        <v>2689.5261750750351</v>
      </c>
      <c r="AR64" s="93"/>
      <c r="AS64" s="62">
        <f>SUM(AS65:AS85)</f>
        <v>386.14841573719843</v>
      </c>
      <c r="AT64" s="93"/>
      <c r="AU64" s="62">
        <f>'Dépenses BP 2017'!B71</f>
        <v>1907.2197830281746</v>
      </c>
      <c r="AV64" s="93"/>
      <c r="AW64" s="62">
        <f>'Dépenses BP 2017'!E71</f>
        <v>0</v>
      </c>
      <c r="AX64" s="93"/>
      <c r="AY64" s="62">
        <f>'Dépenses BP 2017'!G71</f>
        <v>1907.2197830281746</v>
      </c>
      <c r="AZ64" s="93"/>
      <c r="BA64" s="62" t="str">
        <f>'Dépenses BP 2017'!I71</f>
        <v>/</v>
      </c>
      <c r="BB64" s="58">
        <f t="shared" si="3"/>
        <v>1168.4548077840589</v>
      </c>
      <c r="BC64" s="211"/>
      <c r="BD64" s="73">
        <f>'Dépenses BP 2017'!Q71</f>
        <v>5352.6132403634419</v>
      </c>
      <c r="BE64" s="88"/>
      <c r="BF64" s="73" t="str">
        <f>'Dépenses BP 2017'!S71</f>
        <v>/</v>
      </c>
      <c r="BG64" s="211"/>
      <c r="BH64" s="73">
        <f>'Dépenses BP 2017'!T71</f>
        <v>25374.092547641725</v>
      </c>
      <c r="BI64" s="88"/>
      <c r="BJ64" s="73"/>
    </row>
    <row r="65" spans="1:62">
      <c r="A65" s="1584" t="str">
        <f>'Dépenses BP 2017'!A72</f>
        <v xml:space="preserve">ML - Location immobilière </v>
      </c>
      <c r="B65" s="489">
        <f>'Dépenses BP 2017'!BJ72*C65</f>
        <v>3445.4828974607308</v>
      </c>
      <c r="C65" s="494">
        <f>$C$6/$V$6</f>
        <v>0.15033781318947509</v>
      </c>
      <c r="D65" s="489">
        <f>'Dépenses BP 2017'!BJ72*E65</f>
        <v>6341.6066059281047</v>
      </c>
      <c r="E65" s="494">
        <f>$E$6/$V$6</f>
        <v>0.2767052682066104</v>
      </c>
      <c r="F65" s="489">
        <f>'Dépenses BP 2017'!BJ72*G65</f>
        <v>3421.196442303205</v>
      </c>
      <c r="G65" s="494">
        <f>$G$6/$V$6</f>
        <v>0.14927811483450792</v>
      </c>
      <c r="H65" s="495"/>
      <c r="I65" s="495"/>
      <c r="J65" s="494">
        <f>'Dépenses BP 2017'!BJ72*K65</f>
        <v>943.12064096699089</v>
      </c>
      <c r="K65" s="494">
        <f>$K$6/$V$6</f>
        <v>4.1151472509507493E-2</v>
      </c>
      <c r="L65" s="489">
        <f>'Dépenses BP 2017'!BJ72*M65</f>
        <v>748.13557200118305</v>
      </c>
      <c r="M65" s="494">
        <f>$M$6/$V$6</f>
        <v>3.2643629125776799E-2</v>
      </c>
      <c r="N65" s="506">
        <f>'Dépenses BP 2017'!BJ72*O65</f>
        <v>1792.4239098999453</v>
      </c>
      <c r="O65" s="507">
        <f>$O$6/$V$6</f>
        <v>7.8209382818728024E-2</v>
      </c>
      <c r="P65" s="508">
        <f>'Dépenses BP 2017'!BJ72*Q65</f>
        <v>429.21849588903643</v>
      </c>
      <c r="Q65" s="510">
        <f>$Q$6/$V$6</f>
        <v>1.8728222421301073E-2</v>
      </c>
      <c r="R65" s="515">
        <f>'Dépenses BP 2017'!BJ72*S65</f>
        <v>0</v>
      </c>
      <c r="S65" s="515">
        <f>$S$6/$V$6</f>
        <v>0</v>
      </c>
      <c r="T65" s="501">
        <f>'Dépenses BP 2017'!AQ72</f>
        <v>22918.272019284253</v>
      </c>
      <c r="U65" s="503" t="e">
        <f>'Dépenses BP 2017'!#REF!</f>
        <v>#REF!</v>
      </c>
      <c r="V65" s="502"/>
      <c r="W65" s="53"/>
      <c r="X65" s="520">
        <f>'Dépenses BP 2017'!BJ72*Y65</f>
        <v>404.50011978725024</v>
      </c>
      <c r="Y65" s="521">
        <f>$Y$6/$V$6</f>
        <v>1.764967792715303E-2</v>
      </c>
      <c r="Z65" s="520">
        <f>'Dépenses BP 2017'!BJ72*AA65</f>
        <v>404.50011978725024</v>
      </c>
      <c r="AA65" s="521">
        <f>$Y$6/$V$6</f>
        <v>1.764967792715303E-2</v>
      </c>
      <c r="AB65" s="519">
        <f>'Dépenses BP 2017'!BJ72*AC65</f>
        <v>210.74241464822063</v>
      </c>
      <c r="AC65" s="593">
        <f>$AC$6/$V$6</f>
        <v>9.1953884861343121E-3</v>
      </c>
      <c r="AD65" s="597"/>
      <c r="AE65" s="597"/>
      <c r="AF65" s="53"/>
      <c r="AO65" s="205"/>
      <c r="AQ65" s="61"/>
      <c r="AR65" s="94"/>
      <c r="AS65" s="61"/>
      <c r="AT65" s="94"/>
      <c r="AU65" s="61"/>
      <c r="AV65" s="94"/>
      <c r="AW65" s="61"/>
      <c r="AX65" s="94"/>
      <c r="AY65" s="61"/>
      <c r="AZ65" s="94"/>
      <c r="BA65" s="61"/>
      <c r="BB65" s="58">
        <f t="shared" si="3"/>
        <v>0</v>
      </c>
      <c r="BC65" s="211"/>
      <c r="BD65" s="78"/>
      <c r="BE65" s="89"/>
      <c r="BF65" s="78"/>
      <c r="BG65" s="211"/>
      <c r="BH65" s="82"/>
      <c r="BI65" s="87"/>
      <c r="BJ65" s="82"/>
    </row>
    <row r="66" spans="1:62">
      <c r="A66" s="1584" t="str">
        <f>'Dépenses BP 2017'!A73</f>
        <v xml:space="preserve">MDE - Location immobilière </v>
      </c>
      <c r="B66" s="489"/>
      <c r="C66" s="494"/>
      <c r="D66" s="489"/>
      <c r="E66" s="494"/>
      <c r="F66" s="489"/>
      <c r="G66" s="494"/>
      <c r="H66" s="495"/>
      <c r="I66" s="495"/>
      <c r="J66" s="489"/>
      <c r="K66" s="494"/>
      <c r="L66" s="489"/>
      <c r="M66" s="494"/>
      <c r="N66" s="506"/>
      <c r="O66" s="507"/>
      <c r="P66" s="508"/>
      <c r="Q66" s="510"/>
      <c r="R66" s="513"/>
      <c r="S66" s="515"/>
      <c r="T66" s="501"/>
      <c r="U66" s="503"/>
      <c r="V66" s="502"/>
      <c r="W66" s="53"/>
      <c r="X66" s="520"/>
      <c r="Y66" s="521"/>
      <c r="Z66" s="520"/>
      <c r="AA66" s="521"/>
      <c r="AB66" s="518"/>
      <c r="AC66" s="593"/>
      <c r="AD66" s="597"/>
      <c r="AE66" s="597"/>
      <c r="AF66" s="53"/>
      <c r="AO66" s="205"/>
      <c r="AQ66" s="61">
        <f>'Dépenses BP 2017'!BJ73*AR66</f>
        <v>2327.6589386895416</v>
      </c>
      <c r="AR66" s="94">
        <f>$AR$6/($BJ$6+$AH$6)</f>
        <v>9.1772511101335524E-2</v>
      </c>
      <c r="AS66" s="61">
        <f>'Dépenses BP 2017'!BJ73*AT66</f>
        <v>334.1933682896464</v>
      </c>
      <c r="AT66" s="94">
        <f>$AT$6/($BJ$6+$AH$6)</f>
        <v>1.3176227879253299E-2</v>
      </c>
      <c r="AU66" s="61">
        <f>'Dépenses BP 2017'!B73</f>
        <v>1650.6093962395457</v>
      </c>
      <c r="AV66" s="94">
        <f>'Dépenses BP 2017'!C73</f>
        <v>6.5078507260021998E-2</v>
      </c>
      <c r="AW66" s="61">
        <f>'Dépenses BP 2017'!E73</f>
        <v>0</v>
      </c>
      <c r="AX66" s="94">
        <f>'Dépenses BP 2017'!F73</f>
        <v>0</v>
      </c>
      <c r="AY66" s="61">
        <f>'Dépenses BP 2017'!G73</f>
        <v>1650.6093962395457</v>
      </c>
      <c r="AZ66" s="94">
        <f>'Dépenses BP 2017'!H73</f>
        <v>6.5078507260021998E-2</v>
      </c>
      <c r="BA66" s="61"/>
      <c r="BB66" s="58">
        <f t="shared" si="3"/>
        <v>1011.2429107396424</v>
      </c>
      <c r="BC66" s="211"/>
      <c r="BD66" s="78">
        <f>'Dépenses BP 2017'!Q73</f>
        <v>4265.4839244892382</v>
      </c>
      <c r="BE66" s="89">
        <f>'Dépenses BP 2017'!R73</f>
        <v>0.16817505533398427</v>
      </c>
      <c r="BF66" s="78"/>
      <c r="BG66" s="211"/>
      <c r="BH66" s="82">
        <f>'Dépenses BP 2017'!T73</f>
        <v>21593.136544963851</v>
      </c>
      <c r="BI66" s="87">
        <f>'Dépenses BP 2017'!U73</f>
        <v>0.85135168660104887</v>
      </c>
      <c r="BJ66" s="82"/>
    </row>
    <row r="67" spans="1:62">
      <c r="A67" s="1584" t="e">
        <f>'Dépenses BP 2017'!#REF!</f>
        <v>#REF!</v>
      </c>
      <c r="B67" s="489"/>
      <c r="C67" s="494"/>
      <c r="D67" s="489"/>
      <c r="E67" s="494"/>
      <c r="F67" s="489"/>
      <c r="G67" s="494"/>
      <c r="H67" s="495"/>
      <c r="I67" s="495"/>
      <c r="J67" s="494"/>
      <c r="K67" s="494"/>
      <c r="L67" s="489"/>
      <c r="M67" s="494"/>
      <c r="N67" s="506"/>
      <c r="O67" s="507"/>
      <c r="P67" s="508"/>
      <c r="Q67" s="510"/>
      <c r="R67" s="515"/>
      <c r="S67" s="515"/>
      <c r="T67" s="501"/>
      <c r="U67" s="503"/>
      <c r="V67" s="502"/>
      <c r="W67" s="53"/>
      <c r="X67" s="520"/>
      <c r="Y67" s="521"/>
      <c r="Z67" s="520"/>
      <c r="AA67" s="521"/>
      <c r="AB67" s="518"/>
      <c r="AC67" s="593"/>
      <c r="AD67" s="597"/>
      <c r="AE67" s="597"/>
      <c r="AF67" s="53"/>
      <c r="AO67" s="205"/>
      <c r="AQ67" s="61"/>
      <c r="AR67" s="94"/>
      <c r="AS67" s="61"/>
      <c r="AT67" s="94"/>
      <c r="AU67" s="61"/>
      <c r="AV67" s="94"/>
      <c r="AW67" s="61"/>
      <c r="AX67" s="94"/>
      <c r="AY67" s="61"/>
      <c r="AZ67" s="94"/>
      <c r="BA67" s="61"/>
      <c r="BB67" s="58">
        <f t="shared" si="3"/>
        <v>0</v>
      </c>
      <c r="BC67" s="211"/>
      <c r="BD67" s="78"/>
      <c r="BE67" s="89"/>
      <c r="BF67" s="78"/>
      <c r="BG67" s="211"/>
      <c r="BH67" s="82"/>
      <c r="BI67" s="87"/>
      <c r="BJ67" s="82"/>
    </row>
    <row r="68" spans="1:62">
      <c r="A68" s="1584" t="str">
        <f>'Dépenses BP 2017'!A74</f>
        <v>Location Logiciel Bull - Parcours 3</v>
      </c>
      <c r="B68" s="489">
        <f>'Dépenses BP 2017'!BJ74*C68</f>
        <v>601.05057713152144</v>
      </c>
      <c r="C68" s="494">
        <f>$C$6/$V$6</f>
        <v>0.15033781318947509</v>
      </c>
      <c r="D68" s="489">
        <f>'Dépenses BP 2017'!BJ74*E68</f>
        <v>1106.2676622900283</v>
      </c>
      <c r="E68" s="494">
        <f>$E$6/$V$6</f>
        <v>0.2767052682066104</v>
      </c>
      <c r="F68" s="489">
        <f>'Dépenses BP 2017'!BJ74*G68</f>
        <v>596.81390310836264</v>
      </c>
      <c r="G68" s="494">
        <f>$G$6/$V$6</f>
        <v>0.14927811483450792</v>
      </c>
      <c r="H68" s="495"/>
      <c r="I68" s="495"/>
      <c r="J68" s="494">
        <f>'Dépenses BP 2017'!BJ74*K68</f>
        <v>164.52358709301095</v>
      </c>
      <c r="K68" s="494">
        <f>$K$6/$V$6</f>
        <v>4.1151472509507493E-2</v>
      </c>
      <c r="L68" s="489">
        <f>'Dépenses BP 2017'!BJ74*M68</f>
        <v>130.50922924485565</v>
      </c>
      <c r="M68" s="494">
        <f>$M$6/$V$6</f>
        <v>3.2643629125776799E-2</v>
      </c>
      <c r="N68" s="506">
        <f>'Dépenses BP 2017'!BJ74*O68</f>
        <v>312.68111250927461</v>
      </c>
      <c r="O68" s="507">
        <f>$O$6/$V$6</f>
        <v>7.8209382818728024E-2</v>
      </c>
      <c r="P68" s="508">
        <f>'Dépenses BP 2017'!BJ74*Q68</f>
        <v>74.875433240361687</v>
      </c>
      <c r="Q68" s="510">
        <f>$Q$6/$V$6</f>
        <v>1.8728222421301073E-2</v>
      </c>
      <c r="R68" s="515">
        <f>'Dépenses BP 2017'!BJ74*S68</f>
        <v>0</v>
      </c>
      <c r="S68" s="515">
        <f>$S$6/$V$6</f>
        <v>0</v>
      </c>
      <c r="T68" s="501">
        <f>'Dépenses BP 2017'!AQ74</f>
        <v>3997.9999999999995</v>
      </c>
      <c r="U68" s="503" t="e">
        <f>'Dépenses BP 2017'!#REF!</f>
        <v>#REF!</v>
      </c>
      <c r="V68" s="502"/>
      <c r="W68" s="53"/>
      <c r="X68" s="520">
        <f>'Dépenses BP 2017'!BJ74*Y68</f>
        <v>70.563412352757823</v>
      </c>
      <c r="Y68" s="521">
        <f>$Y$6/$V$6</f>
        <v>1.764967792715303E-2</v>
      </c>
      <c r="Z68" s="520">
        <f>'Dépenses BP 2017'!BJ74*AA68</f>
        <v>70.563412352757823</v>
      </c>
      <c r="AA68" s="521">
        <f>$Y$6/$V$6</f>
        <v>1.764967792715303E-2</v>
      </c>
      <c r="AB68" s="518">
        <f>'Dépenses BP 2017'!BJ74*AC68</f>
        <v>36.763163167564983</v>
      </c>
      <c r="AC68" s="593">
        <f>$AC$6/$V$6</f>
        <v>9.1953884861343121E-3</v>
      </c>
      <c r="AD68" s="597"/>
      <c r="AE68" s="597"/>
      <c r="AF68" s="53"/>
      <c r="AO68" s="205"/>
      <c r="AQ68" s="61"/>
      <c r="AR68" s="94"/>
      <c r="AS68" s="61"/>
      <c r="AT68" s="94"/>
      <c r="AU68" s="61"/>
      <c r="AV68" s="94"/>
      <c r="AW68" s="61"/>
      <c r="AX68" s="94"/>
      <c r="AY68" s="61"/>
      <c r="AZ68" s="94"/>
      <c r="BA68" s="61"/>
      <c r="BB68" s="58">
        <f t="shared" si="3"/>
        <v>0</v>
      </c>
      <c r="BC68" s="211"/>
      <c r="BD68" s="78"/>
      <c r="BE68" s="89"/>
      <c r="BF68" s="78"/>
      <c r="BG68" s="211"/>
      <c r="BH68" s="82"/>
      <c r="BI68" s="87"/>
      <c r="BJ68" s="82"/>
    </row>
    <row r="69" spans="1:62">
      <c r="A69" s="1584" t="str">
        <f>'Dépenses BP 2017'!A75</f>
        <v>Location Log "Clauses sociales"</v>
      </c>
      <c r="B69" s="489"/>
      <c r="C69" s="494"/>
      <c r="D69" s="489"/>
      <c r="E69" s="494"/>
      <c r="F69" s="489"/>
      <c r="G69" s="494"/>
      <c r="H69" s="495"/>
      <c r="I69" s="495"/>
      <c r="J69" s="494"/>
      <c r="K69" s="494"/>
      <c r="L69" s="489"/>
      <c r="M69" s="494"/>
      <c r="N69" s="506"/>
      <c r="O69" s="507"/>
      <c r="P69" s="508"/>
      <c r="Q69" s="510"/>
      <c r="R69" s="513"/>
      <c r="S69" s="514"/>
      <c r="T69" s="501"/>
      <c r="U69" s="503"/>
      <c r="V69" s="502"/>
      <c r="W69" s="53"/>
      <c r="X69" s="520"/>
      <c r="Y69" s="521"/>
      <c r="Z69" s="520"/>
      <c r="AA69" s="521"/>
      <c r="AB69" s="518"/>
      <c r="AC69" s="593"/>
      <c r="AD69" s="597"/>
      <c r="AE69" s="597"/>
      <c r="AF69" s="53"/>
      <c r="AO69" s="205"/>
      <c r="AQ69" s="61"/>
      <c r="AR69" s="94"/>
      <c r="AS69" s="61"/>
      <c r="AT69" s="94"/>
      <c r="AU69" s="61"/>
      <c r="AV69" s="94"/>
      <c r="AW69" s="61"/>
      <c r="AX69" s="94"/>
      <c r="AY69" s="61"/>
      <c r="AZ69" s="94"/>
      <c r="BA69" s="61"/>
      <c r="BB69" s="58">
        <f t="shared" si="3"/>
        <v>0</v>
      </c>
      <c r="BC69" s="211"/>
      <c r="BD69" s="78">
        <f>'Dépenses BP 2017'!Q75</f>
        <v>424</v>
      </c>
      <c r="BE69" s="89">
        <f>'Dépenses BP 2017'!R75</f>
        <v>1</v>
      </c>
      <c r="BF69" s="78"/>
      <c r="BG69" s="211"/>
      <c r="BH69" s="82">
        <f>'Dépenses BP 2017'!T75</f>
        <v>424</v>
      </c>
      <c r="BI69" s="87">
        <f>'Dépenses BP 2017'!U75</f>
        <v>1</v>
      </c>
      <c r="BJ69" s="82"/>
    </row>
    <row r="70" spans="1:62">
      <c r="A70" s="1584" t="str">
        <f>'Dépenses BP 2017'!A76</f>
        <v>Location Log MIAM</v>
      </c>
      <c r="B70" s="489">
        <f>'Dépenses BP 2017'!BJ76*C70</f>
        <v>226.43284723748729</v>
      </c>
      <c r="C70" s="494">
        <f t="shared" ref="C70:C75" si="4">$C$6/$AG$6</f>
        <v>0.11321642361874365</v>
      </c>
      <c r="D70" s="489">
        <f>'Dépenses BP 2017'!BJ76*E70</f>
        <v>416.76249239217856</v>
      </c>
      <c r="E70" s="494">
        <f t="shared" ref="E70:E75" si="5">$E$6/$AG$6</f>
        <v>0.20838124619608928</v>
      </c>
      <c r="F70" s="489">
        <f>'Dépenses BP 2017'!BJ76*G70</f>
        <v>224.83677163523231</v>
      </c>
      <c r="G70" s="494">
        <f t="shared" ref="G70:G75" si="6">$G$6/$AG$6</f>
        <v>0.11241838581761615</v>
      </c>
      <c r="H70" s="495"/>
      <c r="I70" s="495"/>
      <c r="J70" s="489">
        <f>'Dépenses BP 2017'!BJ76*K70</f>
        <v>61.980714569788027</v>
      </c>
      <c r="K70" s="494">
        <f t="shared" ref="K70:K75" si="7">$K$6/$AG$6</f>
        <v>3.0990357284894014E-2</v>
      </c>
      <c r="L70" s="489">
        <f>'Dépenses BP 2017'!BJ76*M70</f>
        <v>49.16653854608338</v>
      </c>
      <c r="M70" s="494">
        <f t="shared" ref="M70:M75" si="8">$M$6/$AG$6</f>
        <v>2.4583269273041691E-2</v>
      </c>
      <c r="N70" s="506">
        <f>'Dépenses BP 2017'!BJ76*O70</f>
        <v>117.7958682291848</v>
      </c>
      <c r="O70" s="507">
        <f t="shared" ref="O70:O75" si="9">$O$6/$AG$6</f>
        <v>5.8897934114592404E-2</v>
      </c>
      <c r="P70" s="508">
        <f>'Dépenses BP 2017'!BJ76*Q70</f>
        <v>28.20770527776331</v>
      </c>
      <c r="Q70" s="510">
        <f t="shared" ref="Q70:Q75" si="10">$Q$6/$AG$6</f>
        <v>1.4103852638881654E-2</v>
      </c>
      <c r="R70" s="513">
        <f>'Dépenses BP 2017'!BJ76*S70</f>
        <v>0</v>
      </c>
      <c r="S70" s="514">
        <f t="shared" ref="S70:S75" si="11">$S$6/$AG$6</f>
        <v>0</v>
      </c>
      <c r="T70" s="501">
        <f>'Dépenses BP 2017'!AQ76</f>
        <v>1506.1603094632449</v>
      </c>
      <c r="U70" s="503" t="e">
        <f>'Dépenses BP 2017'!#REF!</f>
        <v>#REF!</v>
      </c>
      <c r="V70" s="502"/>
      <c r="W70" s="53"/>
      <c r="X70" s="520">
        <f>'Dépenses BP 2017'!BJ76*Y70</f>
        <v>26.583244368687414</v>
      </c>
      <c r="Y70" s="521">
        <f t="shared" ref="Y70:Y75" si="12">$Y$6/$AG$6</f>
        <v>1.3291622184343706E-2</v>
      </c>
      <c r="Z70" s="520">
        <f>'Dépenses BP 2017'!BJ76*AA70</f>
        <v>12.698185982803466</v>
      </c>
      <c r="AA70" s="521">
        <f t="shared" ref="AA70:AA75" si="13">$AA$6/$AG$6</f>
        <v>6.349092991401733E-3</v>
      </c>
      <c r="AB70" s="518">
        <f>'Dépenses BP 2017'!BJ76*AC70</f>
        <v>13.849729167910816</v>
      </c>
      <c r="AC70" s="593">
        <f t="shared" ref="AC70:AC75" si="14">$AC$6/$AG$6</f>
        <v>6.9248645839554077E-3</v>
      </c>
      <c r="AD70" s="597"/>
      <c r="AE70" s="597"/>
      <c r="AF70" s="53"/>
      <c r="AO70" s="205"/>
      <c r="AQ70" s="61">
        <f>'Dépenses BP 2017'!BJ76*AR70</f>
        <v>45.33256954406437</v>
      </c>
      <c r="AR70" s="94">
        <f t="shared" ref="AR70:AR75" si="15">$AR$6/$AG$6</f>
        <v>2.2666284772032187E-2</v>
      </c>
      <c r="AS70" s="61">
        <f>'Dépenses BP 2017'!BJ76*AT70</f>
        <v>6.5086185339871081</v>
      </c>
      <c r="AT70" s="94">
        <f t="shared" ref="AT70:AT75" si="16">$AT$6/$AG$6</f>
        <v>3.2543092669935539E-3</v>
      </c>
      <c r="AU70" s="61">
        <f>'Dépenses BP 2017'!B76</f>
        <v>32.146619077811337</v>
      </c>
      <c r="AV70" s="94">
        <f>'Dépenses BP 2017'!C76</f>
        <v>1.6073309538905668E-2</v>
      </c>
      <c r="AW70" s="61">
        <f>'Dépenses BP 2017'!E76</f>
        <v>0</v>
      </c>
      <c r="AX70" s="94">
        <f>'Dépenses BP 2017'!F76</f>
        <v>0</v>
      </c>
      <c r="AY70" s="61">
        <f>'Dépenses BP 2017'!G76</f>
        <v>32.146619077811337</v>
      </c>
      <c r="AZ70" s="94">
        <f>'Dépenses BP 2017'!H76</f>
        <v>1.6073309538905668E-2</v>
      </c>
      <c r="BA70" s="61"/>
      <c r="BB70" s="58">
        <f t="shared" si="3"/>
        <v>19.694569000240143</v>
      </c>
      <c r="BC70" s="211"/>
      <c r="BD70" s="78">
        <f>'Dépenses BP 2017'!Q76</f>
        <v>83.072886423326509</v>
      </c>
      <c r="BE70" s="89">
        <f>'Dépenses BP 2017'!R76</f>
        <v>4.1536443211663256E-2</v>
      </c>
      <c r="BF70" s="78"/>
      <c r="BG70" s="211"/>
      <c r="BH70" s="82">
        <f>'Dépenses BP 2017'!T76</f>
        <v>420.5394303386006</v>
      </c>
      <c r="BI70" s="87">
        <f>'Dépenses BP 2017'!U76</f>
        <v>0.21026971516930029</v>
      </c>
      <c r="BJ70" s="82"/>
    </row>
    <row r="71" spans="1:62">
      <c r="A71" s="1584" t="str">
        <f>'Dépenses BP 2017'!A77</f>
        <v xml:space="preserve">Location Hébergement OVH </v>
      </c>
      <c r="B71" s="489">
        <f>'Dépenses BP 2017'!BJ77*C71</f>
        <v>0</v>
      </c>
      <c r="C71" s="494">
        <f t="shared" si="4"/>
        <v>0.11321642361874365</v>
      </c>
      <c r="D71" s="489">
        <f>'Dépenses BP 2017'!BJ77*E71</f>
        <v>0</v>
      </c>
      <c r="E71" s="494">
        <f t="shared" si="5"/>
        <v>0.20838124619608928</v>
      </c>
      <c r="F71" s="489">
        <f>'Dépenses BP 2017'!BJ77*G71</f>
        <v>0</v>
      </c>
      <c r="G71" s="494">
        <f t="shared" si="6"/>
        <v>0.11241838581761615</v>
      </c>
      <c r="H71" s="495"/>
      <c r="I71" s="495"/>
      <c r="J71" s="489">
        <f>'Dépenses BP 2017'!BJ77*K71</f>
        <v>0</v>
      </c>
      <c r="K71" s="494">
        <f t="shared" si="7"/>
        <v>3.0990357284894014E-2</v>
      </c>
      <c r="L71" s="489">
        <f>'Dépenses BP 2017'!BJ77*M71</f>
        <v>0</v>
      </c>
      <c r="M71" s="494">
        <f t="shared" si="8"/>
        <v>2.4583269273041691E-2</v>
      </c>
      <c r="N71" s="506">
        <f>'Dépenses BP 2017'!BJ77*O71</f>
        <v>0</v>
      </c>
      <c r="O71" s="507">
        <f t="shared" si="9"/>
        <v>5.8897934114592404E-2</v>
      </c>
      <c r="P71" s="508">
        <f>'Dépenses BP 2017'!BJ77*Q71</f>
        <v>0</v>
      </c>
      <c r="Q71" s="510">
        <f t="shared" si="10"/>
        <v>1.4103852638881654E-2</v>
      </c>
      <c r="R71" s="513">
        <f>'Dépenses BP 2017'!BJ77*S71</f>
        <v>0</v>
      </c>
      <c r="S71" s="514">
        <f t="shared" si="11"/>
        <v>0</v>
      </c>
      <c r="T71" s="501">
        <f>'Dépenses BP 2017'!AQ77</f>
        <v>0</v>
      </c>
      <c r="U71" s="503" t="e">
        <f>'Dépenses BP 2017'!#REF!</f>
        <v>#REF!</v>
      </c>
      <c r="V71" s="502"/>
      <c r="W71" s="53"/>
      <c r="X71" s="520">
        <f>'Dépenses BP 2017'!BJ77*Y71</f>
        <v>0</v>
      </c>
      <c r="Y71" s="521">
        <f t="shared" si="12"/>
        <v>1.3291622184343706E-2</v>
      </c>
      <c r="Z71" s="520">
        <f>'Dépenses BP 2017'!BJ77*AA71</f>
        <v>0</v>
      </c>
      <c r="AA71" s="521">
        <f t="shared" si="13"/>
        <v>6.349092991401733E-3</v>
      </c>
      <c r="AB71" s="518">
        <f>'Dépenses BP 2017'!BJ77*AC71</f>
        <v>0</v>
      </c>
      <c r="AC71" s="593">
        <f t="shared" si="14"/>
        <v>6.9248645839554077E-3</v>
      </c>
      <c r="AD71" s="597"/>
      <c r="AE71" s="597"/>
      <c r="AF71" s="53"/>
      <c r="AO71" s="205"/>
      <c r="AQ71" s="61">
        <f>'Dépenses BP 2017'!BJ77*AR71</f>
        <v>0</v>
      </c>
      <c r="AR71" s="94">
        <f t="shared" si="15"/>
        <v>2.2666284772032187E-2</v>
      </c>
      <c r="AS71" s="61">
        <f>'Dépenses BP 2017'!BJ77*AT71</f>
        <v>0</v>
      </c>
      <c r="AT71" s="94">
        <f t="shared" si="16"/>
        <v>3.2543092669935539E-3</v>
      </c>
      <c r="AU71" s="61">
        <f>'Dépenses BP 2017'!B77</f>
        <v>0</v>
      </c>
      <c r="AV71" s="94">
        <f>'Dépenses BP 2017'!C77</f>
        <v>1.6073309538905668E-2</v>
      </c>
      <c r="AW71" s="61">
        <f>'Dépenses BP 2017'!E77</f>
        <v>0</v>
      </c>
      <c r="AX71" s="94">
        <f>'Dépenses BP 2017'!F77</f>
        <v>0</v>
      </c>
      <c r="AY71" s="61">
        <f>'Dépenses BP 2017'!G77</f>
        <v>0</v>
      </c>
      <c r="AZ71" s="94">
        <f>'Dépenses BP 2017'!H77</f>
        <v>1.6073309538905668E-2</v>
      </c>
      <c r="BA71" s="61"/>
      <c r="BB71" s="58">
        <f t="shared" si="3"/>
        <v>0</v>
      </c>
      <c r="BC71" s="211"/>
      <c r="BD71" s="78">
        <f>'Dépenses BP 2017'!Q77</f>
        <v>0</v>
      </c>
      <c r="BE71" s="89">
        <f>'Dépenses BP 2017'!R77</f>
        <v>4.1536443211663256E-2</v>
      </c>
      <c r="BF71" s="78"/>
      <c r="BG71" s="211"/>
      <c r="BH71" s="82">
        <f>'Dépenses BP 2017'!T77</f>
        <v>0</v>
      </c>
      <c r="BI71" s="87">
        <f>'Dépenses BP 2017'!U77</f>
        <v>0.21026971516930029</v>
      </c>
      <c r="BJ71" s="82"/>
    </row>
    <row r="72" spans="1:62">
      <c r="A72" s="1584" t="str">
        <f>'Dépenses BP 2017'!A78</f>
        <v>Location mobilière</v>
      </c>
      <c r="B72" s="489">
        <f>'Dépenses BP 2017'!BJ78*C72</f>
        <v>0</v>
      </c>
      <c r="C72" s="494">
        <f t="shared" si="4"/>
        <v>0.11321642361874365</v>
      </c>
      <c r="D72" s="489">
        <f>'Dépenses BP 2017'!BJ78*E72</f>
        <v>0</v>
      </c>
      <c r="E72" s="494">
        <f t="shared" si="5"/>
        <v>0.20838124619608928</v>
      </c>
      <c r="F72" s="489">
        <f>'Dépenses BP 2017'!BJ78*G72</f>
        <v>0</v>
      </c>
      <c r="G72" s="494">
        <f t="shared" si="6"/>
        <v>0.11241838581761615</v>
      </c>
      <c r="H72" s="495"/>
      <c r="I72" s="495"/>
      <c r="J72" s="489">
        <f>'Dépenses BP 2017'!BJ78*K72</f>
        <v>0</v>
      </c>
      <c r="K72" s="494">
        <f t="shared" si="7"/>
        <v>3.0990357284894014E-2</v>
      </c>
      <c r="L72" s="489">
        <f>'Dépenses BP 2017'!BJ78*M72</f>
        <v>0</v>
      </c>
      <c r="M72" s="494">
        <f t="shared" si="8"/>
        <v>2.4583269273041691E-2</v>
      </c>
      <c r="N72" s="506">
        <f>'Dépenses BP 2017'!BJ78*O72</f>
        <v>0</v>
      </c>
      <c r="O72" s="507">
        <f t="shared" si="9"/>
        <v>5.8897934114592404E-2</v>
      </c>
      <c r="P72" s="508">
        <f>'Dépenses BP 2017'!BJ78*Q72</f>
        <v>0</v>
      </c>
      <c r="Q72" s="510">
        <f t="shared" si="10"/>
        <v>1.4103852638881654E-2</v>
      </c>
      <c r="R72" s="513">
        <f>'Dépenses BP 2017'!BJ78*S72</f>
        <v>0</v>
      </c>
      <c r="S72" s="514">
        <f t="shared" si="11"/>
        <v>0</v>
      </c>
      <c r="T72" s="501">
        <f>'Dépenses BP 2017'!AQ78</f>
        <v>0</v>
      </c>
      <c r="U72" s="503" t="e">
        <f>'Dépenses BP 2017'!#REF!</f>
        <v>#REF!</v>
      </c>
      <c r="V72" s="502"/>
      <c r="W72" s="53"/>
      <c r="X72" s="520">
        <f>'Dépenses BP 2017'!BJ78*Y72</f>
        <v>0</v>
      </c>
      <c r="Y72" s="521">
        <f t="shared" si="12"/>
        <v>1.3291622184343706E-2</v>
      </c>
      <c r="Z72" s="520">
        <f>'Dépenses BP 2017'!BJ78*AA72</f>
        <v>0</v>
      </c>
      <c r="AA72" s="521">
        <f t="shared" si="13"/>
        <v>6.349092991401733E-3</v>
      </c>
      <c r="AB72" s="518">
        <f>'Dépenses BP 2017'!BJ78*AC72</f>
        <v>0</v>
      </c>
      <c r="AC72" s="593">
        <f t="shared" si="14"/>
        <v>6.9248645839554077E-3</v>
      </c>
      <c r="AD72" s="597"/>
      <c r="AE72" s="597"/>
      <c r="AF72" s="53"/>
      <c r="AO72" s="205"/>
      <c r="AQ72" s="61">
        <f>'Dépenses BP 2017'!BJ78*AR72</f>
        <v>0</v>
      </c>
      <c r="AR72" s="94">
        <f t="shared" si="15"/>
        <v>2.2666284772032187E-2</v>
      </c>
      <c r="AS72" s="61">
        <f>'Dépenses BP 2017'!BJ78*AT72</f>
        <v>0</v>
      </c>
      <c r="AT72" s="94">
        <f t="shared" si="16"/>
        <v>3.2543092669935539E-3</v>
      </c>
      <c r="AU72" s="61">
        <f>'Dépenses BP 2017'!B78</f>
        <v>0</v>
      </c>
      <c r="AV72" s="94">
        <f>'Dépenses BP 2017'!C78</f>
        <v>1.6073309538905668E-2</v>
      </c>
      <c r="AW72" s="61">
        <f>'Dépenses BP 2017'!E78</f>
        <v>0</v>
      </c>
      <c r="AX72" s="94">
        <f>'Dépenses BP 2017'!F78</f>
        <v>0</v>
      </c>
      <c r="AY72" s="61">
        <f>'Dépenses BP 2017'!G78</f>
        <v>0</v>
      </c>
      <c r="AZ72" s="94">
        <f>'Dépenses BP 2017'!H78</f>
        <v>1.6073309538905668E-2</v>
      </c>
      <c r="BA72" s="61"/>
      <c r="BB72" s="58">
        <f t="shared" si="3"/>
        <v>0</v>
      </c>
      <c r="BC72" s="211"/>
      <c r="BD72" s="78">
        <f>'Dépenses BP 2017'!Q78</f>
        <v>0</v>
      </c>
      <c r="BE72" s="89">
        <f>'Dépenses BP 2017'!R78</f>
        <v>4.1536443211663256E-2</v>
      </c>
      <c r="BF72" s="78"/>
      <c r="BG72" s="211"/>
      <c r="BH72" s="82">
        <f>'Dépenses BP 2017'!T78</f>
        <v>0</v>
      </c>
      <c r="BI72" s="87">
        <f>'Dépenses BP 2017'!U78</f>
        <v>0.21026971516930029</v>
      </c>
      <c r="BJ72" s="82"/>
    </row>
    <row r="73" spans="1:62">
      <c r="A73" s="1584" t="str">
        <f>'Dépenses BP 2017'!A79</f>
        <v>Location mobilière (photocopieur)</v>
      </c>
      <c r="B73" s="489">
        <f>'Dépenses BP 2017'!BJ79*C73</f>
        <v>316.77955328524473</v>
      </c>
      <c r="C73" s="494">
        <f t="shared" si="4"/>
        <v>0.11321642361874365</v>
      </c>
      <c r="D73" s="489">
        <f>'Dépenses BP 2017'!BJ79*E73</f>
        <v>583.05072685665777</v>
      </c>
      <c r="E73" s="494">
        <f t="shared" si="5"/>
        <v>0.20838124619608928</v>
      </c>
      <c r="F73" s="489">
        <f>'Dépenses BP 2017'!BJ79*G73</f>
        <v>314.54664351768997</v>
      </c>
      <c r="G73" s="494">
        <f t="shared" si="6"/>
        <v>0.11241838581761615</v>
      </c>
      <c r="H73" s="495"/>
      <c r="I73" s="495"/>
      <c r="J73" s="489">
        <f>'Dépenses BP 2017'!BJ79*K73</f>
        <v>86.711019683133458</v>
      </c>
      <c r="K73" s="494">
        <f t="shared" si="7"/>
        <v>3.0990357284894014E-2</v>
      </c>
      <c r="L73" s="489">
        <f>'Dépenses BP 2017'!BJ79*M73</f>
        <v>68.783987425970651</v>
      </c>
      <c r="M73" s="494">
        <f t="shared" si="8"/>
        <v>2.4583269273041691E-2</v>
      </c>
      <c r="N73" s="506">
        <f>'Dépenses BP 2017'!BJ79*O73</f>
        <v>164.79641965262954</v>
      </c>
      <c r="O73" s="507">
        <f t="shared" si="9"/>
        <v>5.8897934114592404E-2</v>
      </c>
      <c r="P73" s="508">
        <f>'Dépenses BP 2017'!BJ79*Q73</f>
        <v>39.462579683590867</v>
      </c>
      <c r="Q73" s="510">
        <f t="shared" si="10"/>
        <v>1.4103852638881654E-2</v>
      </c>
      <c r="R73" s="513">
        <f>'Dépenses BP 2017'!BJ79*S73</f>
        <v>0</v>
      </c>
      <c r="S73" s="514">
        <f t="shared" si="11"/>
        <v>0</v>
      </c>
      <c r="T73" s="501">
        <f>'Dépenses BP 2017'!AQ79</f>
        <v>2107.1182729390794</v>
      </c>
      <c r="U73" s="503" t="e">
        <f>'Dépenses BP 2017'!#REF!</f>
        <v>#REF!</v>
      </c>
      <c r="V73" s="502"/>
      <c r="W73" s="54"/>
      <c r="X73" s="520">
        <f>'Dépenses BP 2017'!BJ79*Y73</f>
        <v>37.189958871793692</v>
      </c>
      <c r="Y73" s="521">
        <f t="shared" si="12"/>
        <v>1.3291622184343706E-2</v>
      </c>
      <c r="Z73" s="520">
        <f>'Dépenses BP 2017'!BJ79*AA73</f>
        <v>17.764762189942051</v>
      </c>
      <c r="AA73" s="521">
        <f t="shared" si="13"/>
        <v>6.349092991401733E-3</v>
      </c>
      <c r="AB73" s="518">
        <f>'Dépenses BP 2017'!BJ79*AC73</f>
        <v>19.37577110590723</v>
      </c>
      <c r="AC73" s="593">
        <f t="shared" si="14"/>
        <v>6.9248645839554077E-3</v>
      </c>
      <c r="AD73" s="597"/>
      <c r="AE73" s="597"/>
      <c r="AF73" s="54"/>
      <c r="AO73" s="205"/>
      <c r="AQ73" s="61">
        <f>'Dépenses BP 2017'!BJ79*AR73</f>
        <v>63.420264792146057</v>
      </c>
      <c r="AR73" s="94">
        <f t="shared" si="15"/>
        <v>2.2666284772032187E-2</v>
      </c>
      <c r="AS73" s="61">
        <f>'Dépenses BP 2017'!BJ79*AT73</f>
        <v>9.1055573290479632</v>
      </c>
      <c r="AT73" s="94">
        <f t="shared" si="16"/>
        <v>3.2543092669935539E-3</v>
      </c>
      <c r="AU73" s="61">
        <f>'Dépenses BP 2017'!B79</f>
        <v>44.973120089858057</v>
      </c>
      <c r="AV73" s="94">
        <f>'Dépenses BP 2017'!C79</f>
        <v>1.6073309538905668E-2</v>
      </c>
      <c r="AW73" s="61">
        <f>'Dépenses BP 2017'!E79</f>
        <v>0</v>
      </c>
      <c r="AX73" s="94">
        <f>'Dépenses BP 2017'!F79</f>
        <v>0</v>
      </c>
      <c r="AY73" s="61">
        <f>'Dépenses BP 2017'!G79</f>
        <v>44.973120089858057</v>
      </c>
      <c r="AZ73" s="94">
        <f>'Dépenses BP 2017'!H79</f>
        <v>1.6073309538905668E-2</v>
      </c>
      <c r="BA73" s="61"/>
      <c r="BB73" s="58">
        <f t="shared" si="3"/>
        <v>27.552702031335969</v>
      </c>
      <c r="BC73" s="211"/>
      <c r="BD73" s="78">
        <f>'Dépenses BP 2017'!Q79</f>
        <v>116.21896810623379</v>
      </c>
      <c r="BE73" s="89">
        <f>'Dépenses BP 2017'!R79</f>
        <v>4.1536443211663256E-2</v>
      </c>
      <c r="BF73" s="78"/>
      <c r="BG73" s="211"/>
      <c r="BH73" s="82">
        <f>'Dépenses BP 2017'!T79</f>
        <v>588.33466304370234</v>
      </c>
      <c r="BI73" s="87">
        <f>'Dépenses BP 2017'!U79</f>
        <v>0.21026971516930029</v>
      </c>
      <c r="BJ73" s="82"/>
    </row>
    <row r="74" spans="1:62">
      <c r="A74" s="1584" t="str">
        <f>'Dépenses BP 2017'!A80</f>
        <v>Location véhicule (Peugeot 207)</v>
      </c>
      <c r="B74" s="489">
        <f>'Dépenses BP 2017'!BJ80*C74</f>
        <v>392.52134068618426</v>
      </c>
      <c r="C74" s="494">
        <f t="shared" si="4"/>
        <v>0.11321642361874365</v>
      </c>
      <c r="D74" s="489">
        <f>'Dépenses BP 2017'!BJ80*E74</f>
        <v>722.45778056184156</v>
      </c>
      <c r="E74" s="494">
        <f t="shared" si="5"/>
        <v>0.20838124619608928</v>
      </c>
      <c r="F74" s="489">
        <f>'Dépenses BP 2017'!BJ80*G74</f>
        <v>389.7545436296752</v>
      </c>
      <c r="G74" s="494">
        <f t="shared" si="6"/>
        <v>0.11241838581761615</v>
      </c>
      <c r="H74" s="495"/>
      <c r="I74" s="495"/>
      <c r="J74" s="489">
        <f>'Dépenses BP 2017'!BJ80*K74</f>
        <v>107.44356870672755</v>
      </c>
      <c r="K74" s="494">
        <f t="shared" si="7"/>
        <v>3.0990357284894014E-2</v>
      </c>
      <c r="L74" s="489">
        <f>'Dépenses BP 2017'!BJ80*M74</f>
        <v>85.230194569635543</v>
      </c>
      <c r="M74" s="494">
        <f t="shared" si="8"/>
        <v>2.4583269273041691E-2</v>
      </c>
      <c r="N74" s="506">
        <f>'Dépenses BP 2017'!BJ80*O74</f>
        <v>204.19913757529187</v>
      </c>
      <c r="O74" s="507">
        <f t="shared" si="9"/>
        <v>5.8897934114592404E-2</v>
      </c>
      <c r="P74" s="508">
        <f>'Dépenses BP 2017'!BJ80*Q74</f>
        <v>48.898057099002692</v>
      </c>
      <c r="Q74" s="510">
        <f t="shared" si="10"/>
        <v>1.4103852638881654E-2</v>
      </c>
      <c r="R74" s="513">
        <f>'Dépenses BP 2017'!BJ80*S74</f>
        <v>0</v>
      </c>
      <c r="S74" s="514">
        <f t="shared" si="11"/>
        <v>0</v>
      </c>
      <c r="T74" s="501">
        <f>'Dépenses BP 2017'!AQ80</f>
        <v>2610.9288964545349</v>
      </c>
      <c r="U74" s="503" t="e">
        <f>'Dépenses BP 2017'!#REF!</f>
        <v>#REF!</v>
      </c>
      <c r="V74" s="502"/>
      <c r="W74" s="54"/>
      <c r="X74" s="520">
        <f>'Dépenses BP 2017'!BJ80*Y74</f>
        <v>46.082054113119632</v>
      </c>
      <c r="Y74" s="521">
        <f t="shared" si="12"/>
        <v>1.3291622184343706E-2</v>
      </c>
      <c r="Z74" s="520">
        <f>'Dépenses BP 2017'!BJ80*AA74</f>
        <v>22.01230540118981</v>
      </c>
      <c r="AA74" s="521">
        <f t="shared" si="13"/>
        <v>6.349092991401733E-3</v>
      </c>
      <c r="AB74" s="518">
        <f>'Dépenses BP 2017'!BJ80*AC74</f>
        <v>24.008505512573397</v>
      </c>
      <c r="AC74" s="593">
        <f t="shared" si="14"/>
        <v>6.9248645839554077E-3</v>
      </c>
      <c r="AD74" s="597"/>
      <c r="AE74" s="597"/>
      <c r="AF74" s="54"/>
      <c r="AO74" s="205"/>
      <c r="AQ74" s="61">
        <f>'Dépenses BP 2017'!BJ80*AR74</f>
        <v>78.584009304635586</v>
      </c>
      <c r="AR74" s="94">
        <f t="shared" si="15"/>
        <v>2.2666284772032187E-2</v>
      </c>
      <c r="AS74" s="61">
        <f>'Dépenses BP 2017'!BJ80*AT74</f>
        <v>11.282690228666651</v>
      </c>
      <c r="AT74" s="94">
        <f t="shared" si="16"/>
        <v>3.2543092669935539E-3</v>
      </c>
      <c r="AU74" s="61">
        <f>'Dépenses BP 2017'!B80</f>
        <v>55.726164171385946</v>
      </c>
      <c r="AV74" s="94">
        <f>'Dépenses BP 2017'!C80</f>
        <v>1.6073309538905668E-2</v>
      </c>
      <c r="AW74" s="61">
        <f>'Dépenses BP 2017'!E80</f>
        <v>0</v>
      </c>
      <c r="AX74" s="94">
        <f>'Dépenses BP 2017'!F80</f>
        <v>0</v>
      </c>
      <c r="AY74" s="61">
        <f>'Dépenses BP 2017'!G80</f>
        <v>55.726164171385946</v>
      </c>
      <c r="AZ74" s="94">
        <f>'Dépenses BP 2017'!H80</f>
        <v>1.6073309538905668E-2</v>
      </c>
      <c r="BA74" s="61"/>
      <c r="BB74" s="58">
        <f t="shared" si="3"/>
        <v>34.140535361916292</v>
      </c>
      <c r="BC74" s="211"/>
      <c r="BD74" s="78">
        <f>'Dépenses BP 2017'!Q80</f>
        <v>144.00684861483651</v>
      </c>
      <c r="BE74" s="89">
        <f>'Dépenses BP 2017'!R80</f>
        <v>4.1536443211663256E-2</v>
      </c>
      <c r="BF74" s="78"/>
      <c r="BG74" s="211"/>
      <c r="BH74" s="82">
        <f>'Dépenses BP 2017'!T80</f>
        <v>729.00510249196407</v>
      </c>
      <c r="BI74" s="87">
        <f>'Dépenses BP 2017'!U80</f>
        <v>0.21026971516930029</v>
      </c>
      <c r="BJ74" s="82"/>
    </row>
    <row r="75" spans="1:62">
      <c r="A75" s="1584" t="str">
        <f>'Dépenses BP 2017'!A81</f>
        <v>Location diverses</v>
      </c>
      <c r="B75" s="489">
        <f>'Dépenses BP 2017'!BJ81*C75</f>
        <v>11.321642361874366</v>
      </c>
      <c r="C75" s="494">
        <f t="shared" si="4"/>
        <v>0.11321642361874365</v>
      </c>
      <c r="D75" s="489">
        <f>'Dépenses BP 2017'!BJ81*E75</f>
        <v>20.838124619608926</v>
      </c>
      <c r="E75" s="494">
        <f t="shared" si="5"/>
        <v>0.20838124619608928</v>
      </c>
      <c r="F75" s="489">
        <f>'Dépenses BP 2017'!BJ81*G75</f>
        <v>11.241838581761614</v>
      </c>
      <c r="G75" s="494">
        <f t="shared" si="6"/>
        <v>0.11241838581761615</v>
      </c>
      <c r="H75" s="495"/>
      <c r="I75" s="495"/>
      <c r="J75" s="489">
        <f>'Dépenses BP 2017'!BJ81*K75</f>
        <v>3.0990357284894015</v>
      </c>
      <c r="K75" s="494">
        <f t="shared" si="7"/>
        <v>3.0990357284894014E-2</v>
      </c>
      <c r="L75" s="489">
        <f>'Dépenses BP 2017'!BJ81*M75</f>
        <v>2.458326927304169</v>
      </c>
      <c r="M75" s="494">
        <f t="shared" si="8"/>
        <v>2.4583269273041691E-2</v>
      </c>
      <c r="N75" s="506">
        <f>'Dépenses BP 2017'!BJ81*O75</f>
        <v>5.8897934114592401</v>
      </c>
      <c r="O75" s="507">
        <f t="shared" si="9"/>
        <v>5.8897934114592404E-2</v>
      </c>
      <c r="P75" s="508">
        <f>'Dépenses BP 2017'!BJ81*Q75</f>
        <v>1.4103852638881653</v>
      </c>
      <c r="Q75" s="510">
        <f t="shared" si="10"/>
        <v>1.4103852638881654E-2</v>
      </c>
      <c r="R75" s="513">
        <f>'Dépenses BP 2017'!BJ81*S75</f>
        <v>0</v>
      </c>
      <c r="S75" s="514">
        <f t="shared" si="11"/>
        <v>0</v>
      </c>
      <c r="T75" s="501">
        <f>'Dépenses BP 2017'!AQ81</f>
        <v>75.308015473162243</v>
      </c>
      <c r="U75" s="503" t="e">
        <f>'Dépenses BP 2017'!#REF!</f>
        <v>#REF!</v>
      </c>
      <c r="V75" s="502"/>
      <c r="W75" s="54"/>
      <c r="X75" s="520">
        <f>'Dépenses BP 2017'!BJ81*Y75</f>
        <v>1.3291622184343705</v>
      </c>
      <c r="Y75" s="521">
        <f t="shared" si="12"/>
        <v>1.3291622184343706E-2</v>
      </c>
      <c r="Z75" s="520">
        <f>'Dépenses BP 2017'!BJ81*AA75</f>
        <v>0.63490929914017336</v>
      </c>
      <c r="AA75" s="521">
        <f t="shared" si="13"/>
        <v>6.349092991401733E-3</v>
      </c>
      <c r="AB75" s="518">
        <f>'Dépenses BP 2017'!BJ81*AC75</f>
        <v>0.69248645839554079</v>
      </c>
      <c r="AC75" s="593">
        <f t="shared" si="14"/>
        <v>6.9248645839554077E-3</v>
      </c>
      <c r="AD75" s="597"/>
      <c r="AE75" s="597"/>
      <c r="AF75" s="54"/>
      <c r="AO75" s="205"/>
      <c r="AQ75" s="61">
        <f>'Dépenses BP 2017'!BJ81*AR75</f>
        <v>2.2666284772032186</v>
      </c>
      <c r="AR75" s="94">
        <f t="shared" si="15"/>
        <v>2.2666284772032187E-2</v>
      </c>
      <c r="AS75" s="61">
        <f>'Dépenses BP 2017'!BJ81*AT75</f>
        <v>0.32543092669935542</v>
      </c>
      <c r="AT75" s="94">
        <f t="shared" si="16"/>
        <v>3.2543092669935539E-3</v>
      </c>
      <c r="AU75" s="61">
        <f>'Dépenses BP 2017'!B81</f>
        <v>1.6073309538905667</v>
      </c>
      <c r="AV75" s="94">
        <f>'Dépenses BP 2017'!C81</f>
        <v>1.6073309538905668E-2</v>
      </c>
      <c r="AW75" s="61">
        <f>'Dépenses BP 2017'!E81</f>
        <v>0</v>
      </c>
      <c r="AX75" s="94">
        <f>'Dépenses BP 2017'!F81</f>
        <v>0</v>
      </c>
      <c r="AY75" s="61">
        <f>'Dépenses BP 2017'!G81</f>
        <v>1.6073309538905667</v>
      </c>
      <c r="AZ75" s="94">
        <f>'Dépenses BP 2017'!H81</f>
        <v>1.6073309538905668E-2</v>
      </c>
      <c r="BA75" s="61"/>
      <c r="BB75" s="58">
        <f t="shared" si="3"/>
        <v>0.98472845001200726</v>
      </c>
      <c r="BC75" s="211"/>
      <c r="BD75" s="78">
        <f>'Dépenses BP 2017'!Q81</f>
        <v>4.1536443211663254</v>
      </c>
      <c r="BE75" s="89">
        <f>'Dépenses BP 2017'!R81</f>
        <v>4.1536443211663256E-2</v>
      </c>
      <c r="BF75" s="78"/>
      <c r="BG75" s="211"/>
      <c r="BH75" s="82">
        <f>'Dépenses BP 2017'!T81</f>
        <v>21.026971516930033</v>
      </c>
      <c r="BI75" s="87">
        <f>'Dépenses BP 2017'!U81</f>
        <v>0.21026971516930029</v>
      </c>
      <c r="BJ75" s="82"/>
    </row>
    <row r="76" spans="1:62">
      <c r="A76" s="1584" t="str">
        <f>'Dépenses BP 2017'!A82</f>
        <v xml:space="preserve">ML - Entretien des locaux </v>
      </c>
      <c r="B76" s="489"/>
      <c r="C76" s="494"/>
      <c r="D76" s="489"/>
      <c r="E76" s="494"/>
      <c r="F76" s="489"/>
      <c r="G76" s="494"/>
      <c r="H76" s="495"/>
      <c r="I76" s="495"/>
      <c r="J76" s="489"/>
      <c r="K76" s="494"/>
      <c r="L76" s="489"/>
      <c r="M76" s="494"/>
      <c r="N76" s="506"/>
      <c r="O76" s="507"/>
      <c r="P76" s="508"/>
      <c r="Q76" s="510"/>
      <c r="R76" s="515"/>
      <c r="S76" s="515"/>
      <c r="T76" s="501"/>
      <c r="U76" s="503"/>
      <c r="V76" s="502"/>
      <c r="W76" s="54"/>
      <c r="X76" s="520"/>
      <c r="Y76" s="521"/>
      <c r="Z76" s="520"/>
      <c r="AA76" s="521"/>
      <c r="AB76" s="518"/>
      <c r="AC76" s="593"/>
      <c r="AD76" s="597"/>
      <c r="AE76" s="597"/>
      <c r="AF76" s="54"/>
      <c r="AO76" s="205"/>
      <c r="AQ76" s="61"/>
      <c r="AR76" s="94"/>
      <c r="AS76" s="61"/>
      <c r="AT76" s="94"/>
      <c r="AU76" s="61"/>
      <c r="AV76" s="94"/>
      <c r="AW76" s="61"/>
      <c r="AX76" s="94"/>
      <c r="AY76" s="61"/>
      <c r="AZ76" s="94"/>
      <c r="BA76" s="61"/>
      <c r="BB76" s="58">
        <f t="shared" si="3"/>
        <v>0</v>
      </c>
      <c r="BC76" s="211"/>
      <c r="BD76" s="78"/>
      <c r="BE76" s="89"/>
      <c r="BF76" s="78"/>
      <c r="BG76" s="211"/>
      <c r="BH76" s="82"/>
      <c r="BI76" s="87"/>
      <c r="BJ76" s="82"/>
    </row>
    <row r="77" spans="1:62">
      <c r="A77" s="1584" t="str">
        <f>'Dépenses BP 2017'!A83</f>
        <v xml:space="preserve">MDE/CBE - Entretien des locaux </v>
      </c>
      <c r="B77" s="489"/>
      <c r="C77" s="494"/>
      <c r="D77" s="489"/>
      <c r="E77" s="494"/>
      <c r="F77" s="489"/>
      <c r="G77" s="494"/>
      <c r="H77" s="495"/>
      <c r="I77" s="495"/>
      <c r="J77" s="489"/>
      <c r="K77" s="494"/>
      <c r="L77" s="489"/>
      <c r="M77" s="494"/>
      <c r="N77" s="506"/>
      <c r="O77" s="507"/>
      <c r="P77" s="508"/>
      <c r="Q77" s="510"/>
      <c r="R77" s="513"/>
      <c r="S77" s="515"/>
      <c r="T77" s="501"/>
      <c r="U77" s="503"/>
      <c r="V77" s="502"/>
      <c r="W77" s="54"/>
      <c r="X77" s="520"/>
      <c r="Y77" s="521"/>
      <c r="Z77" s="520"/>
      <c r="AA77" s="521"/>
      <c r="AB77" s="518"/>
      <c r="AC77" s="593"/>
      <c r="AD77" s="597"/>
      <c r="AE77" s="597"/>
      <c r="AF77" s="54"/>
      <c r="AO77" s="205"/>
      <c r="AQ77" s="61">
        <f>'Dépenses BP 2017'!BJ83*AR77</f>
        <v>0</v>
      </c>
      <c r="AR77" s="94">
        <f>$AR$6/($BJ$6+$AH$6)</f>
        <v>9.1772511101335524E-2</v>
      </c>
      <c r="AS77" s="61">
        <f>'Dépenses BP 2017'!BJ83*AT77</f>
        <v>0</v>
      </c>
      <c r="AT77" s="94">
        <f>$AT$6/($BJ$6+$AH$6)</f>
        <v>1.3176227879253299E-2</v>
      </c>
      <c r="AU77" s="61">
        <f>'Dépenses BP 2017'!B83</f>
        <v>0</v>
      </c>
      <c r="AV77" s="94">
        <f>'Dépenses BP 2017'!C83</f>
        <v>6.5078507260021998E-2</v>
      </c>
      <c r="AW77" s="61">
        <f>'Dépenses BP 2017'!E83</f>
        <v>0</v>
      </c>
      <c r="AX77" s="94">
        <f>'Dépenses BP 2017'!F83</f>
        <v>0</v>
      </c>
      <c r="AY77" s="61">
        <f>'Dépenses BP 2017'!G83</f>
        <v>0</v>
      </c>
      <c r="AZ77" s="94">
        <f>'Dépenses BP 2017'!H83</f>
        <v>6.5078507260021998E-2</v>
      </c>
      <c r="BA77" s="61"/>
      <c r="BB77" s="58">
        <f t="shared" si="3"/>
        <v>0</v>
      </c>
      <c r="BC77" s="211"/>
      <c r="BD77" s="78">
        <f>'Dépenses BP 2017'!Q83</f>
        <v>0</v>
      </c>
      <c r="BE77" s="89">
        <f>'Dépenses BP 2017'!R83</f>
        <v>0.16817505533398427</v>
      </c>
      <c r="BF77" s="78"/>
      <c r="BG77" s="211"/>
      <c r="BH77" s="82">
        <f>'Dépenses BP 2017'!T83</f>
        <v>0</v>
      </c>
      <c r="BI77" s="87">
        <f>'Dépenses BP 2017'!U83</f>
        <v>0.85135168660104887</v>
      </c>
      <c r="BJ77" s="82"/>
    </row>
    <row r="78" spans="1:62">
      <c r="A78" s="1584" t="str">
        <f>'Dépenses BP 2017'!A84</f>
        <v xml:space="preserve">MEF - Entretien matériel </v>
      </c>
      <c r="B78" s="489">
        <f>'Dépenses BP 2017'!BJ84*C78</f>
        <v>11.321642361874366</v>
      </c>
      <c r="C78" s="494">
        <f>$C$6/$AG$6</f>
        <v>0.11321642361874365</v>
      </c>
      <c r="D78" s="489">
        <f>'Dépenses BP 2017'!BJ84*E78</f>
        <v>20.838124619608926</v>
      </c>
      <c r="E78" s="494">
        <f>$E$6/$AG$6</f>
        <v>0.20838124619608928</v>
      </c>
      <c r="F78" s="489">
        <f>'Dépenses BP 2017'!BJ84*G78</f>
        <v>11.241838581761614</v>
      </c>
      <c r="G78" s="494">
        <f>$G$6/$AG$6</f>
        <v>0.11241838581761615</v>
      </c>
      <c r="H78" s="495"/>
      <c r="I78" s="495"/>
      <c r="J78" s="489">
        <f>'Dépenses BP 2017'!BJ84*K78</f>
        <v>3.0990357284894015</v>
      </c>
      <c r="K78" s="494">
        <f>$K$6/$AG$6</f>
        <v>3.0990357284894014E-2</v>
      </c>
      <c r="L78" s="489">
        <f>'Dépenses BP 2017'!BJ84*M78</f>
        <v>2.458326927304169</v>
      </c>
      <c r="M78" s="494">
        <f>$M$6/$AG$6</f>
        <v>2.4583269273041691E-2</v>
      </c>
      <c r="N78" s="506">
        <f>'Dépenses BP 2017'!BJ84*O78</f>
        <v>5.8897934114592401</v>
      </c>
      <c r="O78" s="507">
        <f>$O$6/$AG$6</f>
        <v>5.8897934114592404E-2</v>
      </c>
      <c r="P78" s="508">
        <f>'Dépenses BP 2017'!BJ84*Q78</f>
        <v>1.4103852638881653</v>
      </c>
      <c r="Q78" s="510">
        <f>$Q$6/$AG$6</f>
        <v>1.4103852638881654E-2</v>
      </c>
      <c r="R78" s="513">
        <f>'Dépenses BP 2017'!BJ84*S78</f>
        <v>0</v>
      </c>
      <c r="S78" s="514">
        <f>$S$6/$AG$6</f>
        <v>0</v>
      </c>
      <c r="T78" s="501">
        <f>'Dépenses BP 2017'!AQ84</f>
        <v>75.308015473162243</v>
      </c>
      <c r="U78" s="503" t="e">
        <f>'Dépenses BP 2017'!#REF!</f>
        <v>#REF!</v>
      </c>
      <c r="V78" s="502"/>
      <c r="W78" s="54"/>
      <c r="X78" s="520">
        <f>'Dépenses BP 2017'!BJ84*Y78</f>
        <v>1.3291622184343705</v>
      </c>
      <c r="Y78" s="521">
        <f>$Y$6/$AG$6</f>
        <v>1.3291622184343706E-2</v>
      </c>
      <c r="Z78" s="520">
        <f>'Dépenses BP 2017'!BJ84*AA78</f>
        <v>0.63490929914017336</v>
      </c>
      <c r="AA78" s="521">
        <f>$AA$6/$AG$6</f>
        <v>6.349092991401733E-3</v>
      </c>
      <c r="AB78" s="518">
        <f>'Dépenses BP 2017'!BJ84*AC78</f>
        <v>0.69248645839554079</v>
      </c>
      <c r="AC78" s="593">
        <f>$AC$6/$AG$6</f>
        <v>6.9248645839554077E-3</v>
      </c>
      <c r="AD78" s="597"/>
      <c r="AE78" s="597"/>
      <c r="AF78" s="54"/>
      <c r="AO78" s="205"/>
      <c r="AQ78" s="61">
        <f>'Dépenses BP 2017'!BJ84*AR78</f>
        <v>2.2666284772032186</v>
      </c>
      <c r="AR78" s="94">
        <f t="shared" ref="AR78:AR83" si="17">$AR$6/$AG$6</f>
        <v>2.2666284772032187E-2</v>
      </c>
      <c r="AS78" s="61">
        <f>'Dépenses BP 2017'!BJ84*AT78</f>
        <v>0.32543092669935542</v>
      </c>
      <c r="AT78" s="94">
        <f t="shared" ref="AT78:AT83" si="18">$AT$6/$AG$6</f>
        <v>3.2543092669935539E-3</v>
      </c>
      <c r="AU78" s="61">
        <f>'Dépenses BP 2017'!B84</f>
        <v>1.6073309538905667</v>
      </c>
      <c r="AV78" s="94">
        <f>'Dépenses BP 2017'!C84</f>
        <v>1.6073309538905668E-2</v>
      </c>
      <c r="AW78" s="61">
        <f>'Dépenses BP 2017'!E84</f>
        <v>0</v>
      </c>
      <c r="AX78" s="94">
        <f>'Dépenses BP 2017'!F84</f>
        <v>0</v>
      </c>
      <c r="AY78" s="61">
        <f>'Dépenses BP 2017'!G84</f>
        <v>1.6073309538905667</v>
      </c>
      <c r="AZ78" s="94">
        <f>'Dépenses BP 2017'!H84</f>
        <v>1.6073309538905668E-2</v>
      </c>
      <c r="BA78" s="61"/>
      <c r="BB78" s="58">
        <f t="shared" si="3"/>
        <v>0.98472845001200726</v>
      </c>
      <c r="BC78" s="211"/>
      <c r="BD78" s="78">
        <f>'Dépenses BP 2017'!Q84</f>
        <v>4.1536443211663254</v>
      </c>
      <c r="BE78" s="89">
        <f>'Dépenses BP 2017'!R84</f>
        <v>4.1536443211663256E-2</v>
      </c>
      <c r="BF78" s="78"/>
      <c r="BG78" s="211"/>
      <c r="BH78" s="82">
        <f>'Dépenses BP 2017'!T84</f>
        <v>21.026971516930033</v>
      </c>
      <c r="BI78" s="87">
        <f>'Dépenses BP 2017'!U84</f>
        <v>0.21026971516930029</v>
      </c>
      <c r="BJ78" s="82"/>
    </row>
    <row r="79" spans="1:62">
      <c r="A79" s="1584" t="str">
        <f>'Dépenses BP 2017'!A85</f>
        <v>Entretien matériel de tpt</v>
      </c>
      <c r="B79" s="489">
        <f>'Dépenses BP 2017'!BJ85*C79</f>
        <v>45.286569447497463</v>
      </c>
      <c r="C79" s="494">
        <f>$C$6/$AG$6</f>
        <v>0.11321642361874365</v>
      </c>
      <c r="D79" s="489">
        <f>'Dépenses BP 2017'!BJ85*E79</f>
        <v>83.352498478435706</v>
      </c>
      <c r="E79" s="494">
        <f>$E$6/$AG$6</f>
        <v>0.20838124619608928</v>
      </c>
      <c r="F79" s="489">
        <f>'Dépenses BP 2017'!BJ85*G79</f>
        <v>44.967354327046458</v>
      </c>
      <c r="G79" s="494">
        <f>$G$6/$AG$6</f>
        <v>0.11241838581761615</v>
      </c>
      <c r="H79" s="495"/>
      <c r="I79" s="495"/>
      <c r="J79" s="489">
        <f>'Dépenses BP 2017'!BJ85*K79</f>
        <v>12.396142913957606</v>
      </c>
      <c r="K79" s="494">
        <f>$K$6/$AG$6</f>
        <v>3.0990357284894014E-2</v>
      </c>
      <c r="L79" s="489">
        <f>'Dépenses BP 2017'!BJ85*M79</f>
        <v>9.8333077092166761</v>
      </c>
      <c r="M79" s="494">
        <f>$M$6/$AG$6</f>
        <v>2.4583269273041691E-2</v>
      </c>
      <c r="N79" s="506">
        <f>'Dépenses BP 2017'!BJ85*O79</f>
        <v>23.55917364583696</v>
      </c>
      <c r="O79" s="507">
        <f>$O$6/$AG$6</f>
        <v>5.8897934114592404E-2</v>
      </c>
      <c r="P79" s="508">
        <f>'Dépenses BP 2017'!BJ85*Q79</f>
        <v>5.6415410555526613</v>
      </c>
      <c r="Q79" s="510">
        <f>$Q$6/$AG$6</f>
        <v>1.4103852638881654E-2</v>
      </c>
      <c r="R79" s="513">
        <f>'Dépenses BP 2017'!BJ85*S79</f>
        <v>0</v>
      </c>
      <c r="S79" s="514">
        <f>$S$6/$AG$6</f>
        <v>0</v>
      </c>
      <c r="T79" s="501">
        <f>'Dépenses BP 2017'!AQ85</f>
        <v>301.23206189264897</v>
      </c>
      <c r="U79" s="503" t="e">
        <f>'Dépenses BP 2017'!#REF!</f>
        <v>#REF!</v>
      </c>
      <c r="V79" s="502"/>
      <c r="W79" s="54"/>
      <c r="X79" s="520">
        <f>'Dépenses BP 2017'!BJ85*Y79</f>
        <v>5.3166488737374822</v>
      </c>
      <c r="Y79" s="521">
        <f>$Y$6/$AG$6</f>
        <v>1.3291622184343706E-2</v>
      </c>
      <c r="Z79" s="520">
        <f>'Dépenses BP 2017'!BJ85*AA79</f>
        <v>2.5396371965606934</v>
      </c>
      <c r="AA79" s="521">
        <f>$AA$6/$AG$6</f>
        <v>6.349092991401733E-3</v>
      </c>
      <c r="AB79" s="518">
        <f>'Dépenses BP 2017'!BJ85*AC79</f>
        <v>2.7699458335821632</v>
      </c>
      <c r="AC79" s="593">
        <f>$AC$6/$AG$6</f>
        <v>6.9248645839554077E-3</v>
      </c>
      <c r="AD79" s="597"/>
      <c r="AE79" s="597"/>
      <c r="AF79" s="54"/>
      <c r="AO79" s="205"/>
      <c r="AQ79" s="61">
        <f>'Dépenses BP 2017'!BJ85*AR79</f>
        <v>9.0665139088128743</v>
      </c>
      <c r="AR79" s="94">
        <f t="shared" si="17"/>
        <v>2.2666284772032187E-2</v>
      </c>
      <c r="AS79" s="61">
        <f>'Dépenses BP 2017'!BJ85*AT79</f>
        <v>1.3017237067974217</v>
      </c>
      <c r="AT79" s="94">
        <f t="shared" si="18"/>
        <v>3.2543092669935539E-3</v>
      </c>
      <c r="AU79" s="61">
        <f>'Dépenses BP 2017'!B85</f>
        <v>6.4293238155622667</v>
      </c>
      <c r="AV79" s="94">
        <f>'Dépenses BP 2017'!C85</f>
        <v>1.6073309538905668E-2</v>
      </c>
      <c r="AW79" s="61">
        <f>'Dépenses BP 2017'!E85</f>
        <v>0</v>
      </c>
      <c r="AX79" s="94">
        <f>'Dépenses BP 2017'!F85</f>
        <v>0</v>
      </c>
      <c r="AY79" s="61">
        <f>'Dépenses BP 2017'!G85</f>
        <v>6.4293238155622667</v>
      </c>
      <c r="AZ79" s="94">
        <f>'Dépenses BP 2017'!H85</f>
        <v>1.6073309538905668E-2</v>
      </c>
      <c r="BA79" s="61"/>
      <c r="BB79" s="58">
        <f t="shared" si="3"/>
        <v>3.938913800048029</v>
      </c>
      <c r="BC79" s="211"/>
      <c r="BD79" s="78">
        <f>'Dépenses BP 2017'!Q85</f>
        <v>16.614577284665302</v>
      </c>
      <c r="BE79" s="89">
        <f>'Dépenses BP 2017'!R85</f>
        <v>4.1536443211663256E-2</v>
      </c>
      <c r="BF79" s="78"/>
      <c r="BG79" s="211"/>
      <c r="BH79" s="82">
        <f>'Dépenses BP 2017'!T85</f>
        <v>84.107886067720131</v>
      </c>
      <c r="BI79" s="87">
        <f>'Dépenses BP 2017'!U85</f>
        <v>0.21026971516930029</v>
      </c>
      <c r="BJ79" s="82"/>
    </row>
    <row r="80" spans="1:62">
      <c r="A80" s="1584" t="str">
        <f>'Dépenses BP 2017'!A86</f>
        <v>MEF - Maintenance photocopieur</v>
      </c>
      <c r="B80" s="489">
        <f>'Dépenses BP 2017'!BJ86*C80</f>
        <v>407.57912502747712</v>
      </c>
      <c r="C80" s="494">
        <f>$C$6/$AG$6</f>
        <v>0.11321642361874365</v>
      </c>
      <c r="D80" s="489">
        <f>'Dépenses BP 2017'!BJ86*E80</f>
        <v>750.17248630592144</v>
      </c>
      <c r="E80" s="494">
        <f>$E$6/$AG$6</f>
        <v>0.20838124619608928</v>
      </c>
      <c r="F80" s="489">
        <f>'Dépenses BP 2017'!BJ86*G80</f>
        <v>404.70618894341817</v>
      </c>
      <c r="G80" s="494">
        <f>$G$6/$AG$6</f>
        <v>0.11241838581761615</v>
      </c>
      <c r="H80" s="495"/>
      <c r="I80" s="495"/>
      <c r="J80" s="489">
        <f>'Dépenses BP 2017'!BJ86*K80</f>
        <v>111.56528622561845</v>
      </c>
      <c r="K80" s="494">
        <f>$K$6/$AG$6</f>
        <v>3.0990357284894014E-2</v>
      </c>
      <c r="L80" s="489">
        <f>'Dépenses BP 2017'!BJ86*M80</f>
        <v>88.499769382950092</v>
      </c>
      <c r="M80" s="494">
        <f>$M$6/$AG$6</f>
        <v>2.4583269273041691E-2</v>
      </c>
      <c r="N80" s="506">
        <f>'Dépenses BP 2017'!BJ86*O80</f>
        <v>212.03256281253266</v>
      </c>
      <c r="O80" s="507">
        <f>$O$6/$AG$6</f>
        <v>5.8897934114592404E-2</v>
      </c>
      <c r="P80" s="508">
        <f>'Dépenses BP 2017'!BJ86*Q80</f>
        <v>50.773869499973955</v>
      </c>
      <c r="Q80" s="510">
        <f>$Q$6/$AG$6</f>
        <v>1.4103852638881654E-2</v>
      </c>
      <c r="R80" s="513">
        <f>'Dépenses BP 2017'!BJ86*S80</f>
        <v>0</v>
      </c>
      <c r="S80" s="514">
        <f>$S$6/$AG$6</f>
        <v>0</v>
      </c>
      <c r="T80" s="501">
        <f>'Dépenses BP 2017'!AQ86</f>
        <v>2711.088557033841</v>
      </c>
      <c r="U80" s="503" t="e">
        <f>'Dépenses BP 2017'!#REF!</f>
        <v>#REF!</v>
      </c>
      <c r="V80" s="502"/>
      <c r="W80" s="54"/>
      <c r="X80" s="520">
        <f>'Dépenses BP 2017'!BJ86*Y80</f>
        <v>47.849839863637342</v>
      </c>
      <c r="Y80" s="521">
        <f>$Y$6/$AG$6</f>
        <v>1.3291622184343706E-2</v>
      </c>
      <c r="Z80" s="520">
        <f>'Dépenses BP 2017'!BJ86*AA80</f>
        <v>22.856734769046238</v>
      </c>
      <c r="AA80" s="521">
        <f>$AA$6/$AG$6</f>
        <v>6.349092991401733E-3</v>
      </c>
      <c r="AB80" s="518">
        <f>'Dépenses BP 2017'!BJ86*AC80</f>
        <v>24.929512502239469</v>
      </c>
      <c r="AC80" s="593">
        <f>$AC$6/$AG$6</f>
        <v>6.9248645839554077E-3</v>
      </c>
      <c r="AD80" s="597"/>
      <c r="AE80" s="597"/>
      <c r="AF80" s="54"/>
      <c r="AO80" s="205"/>
      <c r="AQ80" s="61">
        <f>'Dépenses BP 2017'!BJ86*AR80</f>
        <v>81.598625179315874</v>
      </c>
      <c r="AR80" s="94">
        <f t="shared" si="17"/>
        <v>2.2666284772032187E-2</v>
      </c>
      <c r="AS80" s="61">
        <f>'Dépenses BP 2017'!BJ86*AT80</f>
        <v>11.715513361176795</v>
      </c>
      <c r="AT80" s="94">
        <f t="shared" si="18"/>
        <v>3.2543092669935539E-3</v>
      </c>
      <c r="AU80" s="61">
        <f>'Dépenses BP 2017'!B86</f>
        <v>57.863914340060404</v>
      </c>
      <c r="AV80" s="94">
        <f>'Dépenses BP 2017'!C86</f>
        <v>1.6073309538905668E-2</v>
      </c>
      <c r="AW80" s="61">
        <f>'Dépenses BP 2017'!E86</f>
        <v>0</v>
      </c>
      <c r="AX80" s="94">
        <f>'Dépenses BP 2017'!F86</f>
        <v>0</v>
      </c>
      <c r="AY80" s="61">
        <f>'Dépenses BP 2017'!G86</f>
        <v>57.863914340060404</v>
      </c>
      <c r="AZ80" s="94">
        <f>'Dépenses BP 2017'!H86</f>
        <v>1.6073309538905668E-2</v>
      </c>
      <c r="BA80" s="61"/>
      <c r="BB80" s="58">
        <f t="shared" si="3"/>
        <v>35.45022420043226</v>
      </c>
      <c r="BC80" s="211"/>
      <c r="BD80" s="78">
        <f>'Dépenses BP 2017'!Q86</f>
        <v>149.53119556198772</v>
      </c>
      <c r="BE80" s="89">
        <f>'Dépenses BP 2017'!R86</f>
        <v>4.1536443211663256E-2</v>
      </c>
      <c r="BF80" s="78"/>
      <c r="BG80" s="211"/>
      <c r="BH80" s="82">
        <f>'Dépenses BP 2017'!T86</f>
        <v>756.97097460948112</v>
      </c>
      <c r="BI80" s="87">
        <f>'Dépenses BP 2017'!U86</f>
        <v>0.21026971516930029</v>
      </c>
      <c r="BJ80" s="82"/>
    </row>
    <row r="81" spans="1:62">
      <c r="A81" s="1584" t="str">
        <f>'Dépenses BP 2017'!A87</f>
        <v>MEF - Maintenance des locaux</v>
      </c>
      <c r="B81" s="489"/>
      <c r="C81" s="494"/>
      <c r="D81" s="489"/>
      <c r="E81" s="494"/>
      <c r="F81" s="489"/>
      <c r="G81" s="494"/>
      <c r="H81" s="495"/>
      <c r="I81" s="495"/>
      <c r="J81" s="489"/>
      <c r="K81" s="494"/>
      <c r="L81" s="489"/>
      <c r="M81" s="494"/>
      <c r="N81" s="506"/>
      <c r="O81" s="507"/>
      <c r="P81" s="508"/>
      <c r="Q81" s="510"/>
      <c r="R81" s="513"/>
      <c r="S81" s="514"/>
      <c r="T81" s="501"/>
      <c r="U81" s="503"/>
      <c r="V81" s="502"/>
      <c r="W81" s="54"/>
      <c r="X81" s="520"/>
      <c r="Y81" s="521"/>
      <c r="Z81" s="520"/>
      <c r="AA81" s="521"/>
      <c r="AB81" s="518"/>
      <c r="AC81" s="593"/>
      <c r="AD81" s="597"/>
      <c r="AE81" s="597"/>
      <c r="AF81" s="54"/>
      <c r="AO81" s="205"/>
      <c r="AQ81" s="61">
        <f>'Dépenses BP 2017'!BJ87*AR81</f>
        <v>0</v>
      </c>
      <c r="AR81" s="94">
        <f t="shared" si="17"/>
        <v>2.2666284772032187E-2</v>
      </c>
      <c r="AS81" s="61">
        <f>'Dépenses BP 2017'!BJ87*AT81</f>
        <v>0</v>
      </c>
      <c r="AT81" s="94">
        <f t="shared" si="18"/>
        <v>3.2543092669935539E-3</v>
      </c>
      <c r="AU81" s="61">
        <f>'Dépenses BP 2017'!B87</f>
        <v>0</v>
      </c>
      <c r="AV81" s="94">
        <f>'Dépenses BP 2017'!C87</f>
        <v>1.6073309538905668E-2</v>
      </c>
      <c r="AW81" s="61">
        <f>'Dépenses BP 2017'!E87</f>
        <v>0</v>
      </c>
      <c r="AX81" s="94">
        <f>'Dépenses BP 2017'!F87</f>
        <v>0</v>
      </c>
      <c r="AY81" s="61">
        <f>'Dépenses BP 2017'!G87</f>
        <v>0</v>
      </c>
      <c r="AZ81" s="94">
        <f>'Dépenses BP 2017'!H87</f>
        <v>1.6073309538905668E-2</v>
      </c>
      <c r="BA81" s="61"/>
      <c r="BB81" s="58">
        <f t="shared" si="3"/>
        <v>0</v>
      </c>
      <c r="BC81" s="211"/>
      <c r="BD81" s="78">
        <f>'Dépenses BP 2017'!Q87</f>
        <v>0</v>
      </c>
      <c r="BE81" s="89">
        <f>'Dépenses BP 2017'!R87</f>
        <v>4.1536443211663256E-2</v>
      </c>
      <c r="BF81" s="78"/>
      <c r="BG81" s="211"/>
      <c r="BH81" s="82">
        <f>'Dépenses BP 2017'!T87</f>
        <v>0</v>
      </c>
      <c r="BI81" s="87">
        <f>'Dépenses BP 2017'!U87</f>
        <v>0.21026971516930029</v>
      </c>
      <c r="BJ81" s="82"/>
    </row>
    <row r="82" spans="1:62">
      <c r="A82" s="1584" t="str">
        <f>'Dépenses BP 2017'!A88</f>
        <v>prime d'assurance</v>
      </c>
      <c r="B82" s="489">
        <f>'Dépenses BP 2017'!BJ88*C82</f>
        <v>192.46792015186421</v>
      </c>
      <c r="C82" s="494">
        <f>$C$6/$AG$6</f>
        <v>0.11321642361874365</v>
      </c>
      <c r="D82" s="489">
        <f>'Dépenses BP 2017'!BJ88*E82</f>
        <v>354.24811853335177</v>
      </c>
      <c r="E82" s="494">
        <f>$E$6/$AG$6</f>
        <v>0.20838124619608928</v>
      </c>
      <c r="F82" s="489">
        <f>'Dépenses BP 2017'!BJ88*G82</f>
        <v>191.11125588994744</v>
      </c>
      <c r="G82" s="494">
        <f>$G$6/$AG$6</f>
        <v>0.11241838581761615</v>
      </c>
      <c r="H82" s="495"/>
      <c r="I82" s="495"/>
      <c r="J82" s="489">
        <f>'Dépenses BP 2017'!BJ88*K82</f>
        <v>52.683607384319821</v>
      </c>
      <c r="K82" s="494">
        <f>$K$6/$AG$6</f>
        <v>3.0990357284894014E-2</v>
      </c>
      <c r="L82" s="489">
        <f>'Dépenses BP 2017'!BJ88*M82</f>
        <v>41.791557764170875</v>
      </c>
      <c r="M82" s="494">
        <f>$M$6/$AG$6</f>
        <v>2.4583269273041691E-2</v>
      </c>
      <c r="N82" s="506">
        <f>'Dépenses BP 2017'!BJ88*O82</f>
        <v>100.12648799480709</v>
      </c>
      <c r="O82" s="507">
        <f>$O$6/$AG$6</f>
        <v>5.8897934114592404E-2</v>
      </c>
      <c r="P82" s="508">
        <f>'Dépenses BP 2017'!BJ88*Q82</f>
        <v>23.976549486098811</v>
      </c>
      <c r="Q82" s="510">
        <f>$Q$6/$AG$6</f>
        <v>1.4103852638881654E-2</v>
      </c>
      <c r="R82" s="513">
        <f>'Dépenses BP 2017'!BJ88*S82</f>
        <v>0</v>
      </c>
      <c r="S82" s="514">
        <f>$S$6/$AG$6</f>
        <v>0</v>
      </c>
      <c r="T82" s="501">
        <f>'Dépenses BP 2017'!AQ88</f>
        <v>1280.2362630437583</v>
      </c>
      <c r="U82" s="503" t="e">
        <f>'Dépenses BP 2017'!#REF!</f>
        <v>#REF!</v>
      </c>
      <c r="V82" s="502"/>
      <c r="W82" s="54"/>
      <c r="X82" s="520">
        <f>'Dépenses BP 2017'!BJ88*Y82</f>
        <v>22.595757713384302</v>
      </c>
      <c r="Y82" s="521">
        <f>$Y$6/$AG$6</f>
        <v>1.3291622184343706E-2</v>
      </c>
      <c r="Z82" s="520">
        <f>'Dépenses BP 2017'!BJ88*AA82</f>
        <v>10.793458085382946</v>
      </c>
      <c r="AA82" s="521">
        <f>$AA$6/$AG$6</f>
        <v>6.349092991401733E-3</v>
      </c>
      <c r="AB82" s="518">
        <f>'Dépenses BP 2017'!BJ88*AC82</f>
        <v>11.772269792724193</v>
      </c>
      <c r="AC82" s="593">
        <f>$AC$6/$AG$6</f>
        <v>6.9248645839554077E-3</v>
      </c>
      <c r="AD82" s="597"/>
      <c r="AE82" s="597"/>
      <c r="AF82" s="54"/>
      <c r="AO82" s="205"/>
      <c r="AQ82" s="61">
        <f>'Dépenses BP 2017'!BJ88*AR82</f>
        <v>38.532684112454717</v>
      </c>
      <c r="AR82" s="94">
        <f t="shared" si="17"/>
        <v>2.2666284772032187E-2</v>
      </c>
      <c r="AS82" s="61">
        <f>'Dépenses BP 2017'!BJ88*AT82</f>
        <v>5.532325753889042</v>
      </c>
      <c r="AT82" s="94">
        <f t="shared" si="18"/>
        <v>3.2543092669935539E-3</v>
      </c>
      <c r="AU82" s="61">
        <f>'Dépenses BP 2017'!B88</f>
        <v>27.324626216139634</v>
      </c>
      <c r="AV82" s="94">
        <f>'Dépenses BP 2017'!C88</f>
        <v>1.6073309538905668E-2</v>
      </c>
      <c r="AW82" s="61">
        <f>'Dépenses BP 2017'!E88</f>
        <v>0</v>
      </c>
      <c r="AX82" s="94">
        <f>'Dépenses BP 2017'!F88</f>
        <v>0</v>
      </c>
      <c r="AY82" s="61">
        <f>'Dépenses BP 2017'!G88</f>
        <v>27.324626216139634</v>
      </c>
      <c r="AZ82" s="94">
        <f>'Dépenses BP 2017'!H88</f>
        <v>1.6073309538905668E-2</v>
      </c>
      <c r="BA82" s="61"/>
      <c r="BB82" s="58">
        <f t="shared" si="3"/>
        <v>16.740383650204123</v>
      </c>
      <c r="BC82" s="211"/>
      <c r="BD82" s="78">
        <f>'Dépenses BP 2017'!Q88</f>
        <v>70.611953459827532</v>
      </c>
      <c r="BE82" s="89">
        <f>'Dépenses BP 2017'!R88</f>
        <v>4.1536443211663256E-2</v>
      </c>
      <c r="BF82" s="78"/>
      <c r="BG82" s="211"/>
      <c r="BH82" s="82">
        <f>'Dépenses BP 2017'!T88</f>
        <v>357.45851578781054</v>
      </c>
      <c r="BI82" s="87">
        <f>'Dépenses BP 2017'!U88</f>
        <v>0.21026971516930029</v>
      </c>
      <c r="BJ82" s="82"/>
    </row>
    <row r="83" spans="1:62">
      <c r="A83" s="1584" t="str">
        <f>'Dépenses BP 2017'!A89</f>
        <v>Doc générale MEF</v>
      </c>
      <c r="B83" s="489">
        <f>'Dépenses BP 2017'!BJ89*C83</f>
        <v>33.964927085623096</v>
      </c>
      <c r="C83" s="494">
        <f>$C$6/$AG$6</f>
        <v>0.11321642361874365</v>
      </c>
      <c r="D83" s="489">
        <f>'Dépenses BP 2017'!BJ89*E83</f>
        <v>62.514373858826779</v>
      </c>
      <c r="E83" s="494">
        <f>$E$6/$AG$6</f>
        <v>0.20838124619608928</v>
      </c>
      <c r="F83" s="489">
        <f>'Dépenses BP 2017'!BJ89*G83</f>
        <v>33.725515745284845</v>
      </c>
      <c r="G83" s="494">
        <f>$G$6/$AG$6</f>
        <v>0.11241838581761615</v>
      </c>
      <c r="H83" s="495"/>
      <c r="I83" s="495"/>
      <c r="J83" s="489">
        <f>'Dépenses BP 2017'!BJ89*K83</f>
        <v>9.2971071854682048</v>
      </c>
      <c r="K83" s="494">
        <f>$K$6/$AG$6</f>
        <v>3.0990357284894014E-2</v>
      </c>
      <c r="L83" s="489">
        <f>'Dépenses BP 2017'!BJ89*M83</f>
        <v>7.3749807819125071</v>
      </c>
      <c r="M83" s="494">
        <f>$M$6/$AG$6</f>
        <v>2.4583269273041691E-2</v>
      </c>
      <c r="N83" s="506">
        <f>'Dépenses BP 2017'!BJ89*O83</f>
        <v>17.669380234377723</v>
      </c>
      <c r="O83" s="507">
        <f>$O$6/$AG$6</f>
        <v>5.8897934114592404E-2</v>
      </c>
      <c r="P83" s="508">
        <f>'Dépenses BP 2017'!BJ89*Q83</f>
        <v>4.231155791664496</v>
      </c>
      <c r="Q83" s="510">
        <f>$Q$6/$AG$6</f>
        <v>1.4103852638881654E-2</v>
      </c>
      <c r="R83" s="513">
        <f>'Dépenses BP 2017'!BJ89*S83</f>
        <v>0</v>
      </c>
      <c r="S83" s="514">
        <f>$S$6/$AG$6</f>
        <v>0</v>
      </c>
      <c r="T83" s="501">
        <f>'Dépenses BP 2017'!AQ89</f>
        <v>225.92404641948673</v>
      </c>
      <c r="U83" s="503" t="e">
        <f>'Dépenses BP 2017'!#REF!</f>
        <v>#REF!</v>
      </c>
      <c r="V83" s="502"/>
      <c r="W83" s="54"/>
      <c r="X83" s="520">
        <f>'Dépenses BP 2017'!BJ89*Y83</f>
        <v>3.9874866553031119</v>
      </c>
      <c r="Y83" s="521">
        <f>$Y$6/$AG$6</f>
        <v>1.3291622184343706E-2</v>
      </c>
      <c r="Z83" s="520">
        <f>'Dépenses BP 2017'!BJ89*AA83</f>
        <v>1.90472789742052</v>
      </c>
      <c r="AA83" s="521">
        <f>$AA$6/$AG$6</f>
        <v>6.349092991401733E-3</v>
      </c>
      <c r="AB83" s="518">
        <f>'Dépenses BP 2017'!BJ89*AC83</f>
        <v>2.0774593751866224</v>
      </c>
      <c r="AC83" s="593">
        <f>$AC$6/$AG$6</f>
        <v>6.9248645839554077E-3</v>
      </c>
      <c r="AD83" s="597"/>
      <c r="AE83" s="597"/>
      <c r="AF83" s="54"/>
      <c r="AO83" s="205"/>
      <c r="AQ83" s="61">
        <f>'Dépenses BP 2017'!BJ89*AR83</f>
        <v>6.7998854316096562</v>
      </c>
      <c r="AR83" s="94">
        <f t="shared" si="17"/>
        <v>2.2666284772032187E-2</v>
      </c>
      <c r="AS83" s="61">
        <f>'Dépenses BP 2017'!BJ89*AT83</f>
        <v>0.97629278009806619</v>
      </c>
      <c r="AT83" s="94">
        <f t="shared" si="18"/>
        <v>3.2543092669935539E-3</v>
      </c>
      <c r="AU83" s="61">
        <f>'Dépenses BP 2017'!B89</f>
        <v>4.8219928616717</v>
      </c>
      <c r="AV83" s="94">
        <f>'Dépenses BP 2017'!C89</f>
        <v>1.6073309538905668E-2</v>
      </c>
      <c r="AW83" s="61">
        <f>'Dépenses BP 2017'!E89</f>
        <v>0</v>
      </c>
      <c r="AX83" s="94">
        <f>'Dépenses BP 2017'!F89</f>
        <v>0</v>
      </c>
      <c r="AY83" s="61">
        <f>'Dépenses BP 2017'!G89</f>
        <v>4.8219928616717</v>
      </c>
      <c r="AZ83" s="94">
        <f>'Dépenses BP 2017'!H89</f>
        <v>1.6073309538905668E-2</v>
      </c>
      <c r="BA83" s="61"/>
      <c r="BB83" s="58">
        <f t="shared" si="3"/>
        <v>2.9541853500360222</v>
      </c>
      <c r="BC83" s="211"/>
      <c r="BD83" s="78">
        <f>'Dépenses BP 2017'!Q89</f>
        <v>12.460932963498976</v>
      </c>
      <c r="BE83" s="89">
        <f>'Dépenses BP 2017'!R89</f>
        <v>4.1536443211663256E-2</v>
      </c>
      <c r="BF83" s="78"/>
      <c r="BG83" s="211"/>
      <c r="BH83" s="82">
        <f>'Dépenses BP 2017'!T89</f>
        <v>63.080914550790098</v>
      </c>
      <c r="BI83" s="87">
        <f>'Dépenses BP 2017'!U89</f>
        <v>0.21026971516930029</v>
      </c>
      <c r="BJ83" s="82"/>
    </row>
    <row r="84" spans="1:62">
      <c r="A84" s="1584" t="str">
        <f>'Dépenses BP 2017'!A90</f>
        <v>Doc données INSEE</v>
      </c>
      <c r="B84" s="489"/>
      <c r="C84" s="494"/>
      <c r="D84" s="489"/>
      <c r="E84" s="494"/>
      <c r="F84" s="489"/>
      <c r="G84" s="494"/>
      <c r="H84" s="495"/>
      <c r="I84" s="495"/>
      <c r="J84" s="489"/>
      <c r="K84" s="494"/>
      <c r="L84" s="489"/>
      <c r="M84" s="494"/>
      <c r="N84" s="506"/>
      <c r="O84" s="507"/>
      <c r="P84" s="508"/>
      <c r="Q84" s="510"/>
      <c r="R84" s="515"/>
      <c r="S84" s="515"/>
      <c r="T84" s="501"/>
      <c r="U84" s="503"/>
      <c r="V84" s="502"/>
      <c r="W84" s="54"/>
      <c r="X84" s="520"/>
      <c r="Y84" s="521"/>
      <c r="Z84" s="520"/>
      <c r="AA84" s="521"/>
      <c r="AB84" s="518"/>
      <c r="AC84" s="593"/>
      <c r="AD84" s="597"/>
      <c r="AE84" s="597"/>
      <c r="AF84" s="54"/>
      <c r="AO84" s="205"/>
      <c r="AQ84" s="61"/>
      <c r="AR84" s="94"/>
      <c r="AS84" s="61"/>
      <c r="AT84" s="94"/>
      <c r="AU84" s="61"/>
      <c r="AV84" s="94"/>
      <c r="AW84" s="61">
        <f>'Dépenses BP 2017'!E90</f>
        <v>0</v>
      </c>
      <c r="AX84" s="94">
        <f>'Dépenses BP 2017'!F90</f>
        <v>1</v>
      </c>
      <c r="AY84" s="61">
        <f>'Dépenses BP 2017'!G90</f>
        <v>0</v>
      </c>
      <c r="AZ84" s="94">
        <f>'Dépenses BP 2017'!H90</f>
        <v>1</v>
      </c>
      <c r="BA84" s="61"/>
      <c r="BB84" s="58">
        <f t="shared" si="3"/>
        <v>0</v>
      </c>
      <c r="BC84" s="211"/>
      <c r="BD84" s="78"/>
      <c r="BE84" s="89"/>
      <c r="BF84" s="78"/>
      <c r="BG84" s="211"/>
      <c r="BH84" s="82">
        <f>'Dépenses BP 2017'!T90</f>
        <v>0</v>
      </c>
      <c r="BI84" s="87">
        <f>'Dépenses BP 2017'!U90</f>
        <v>1</v>
      </c>
      <c r="BJ84" s="82"/>
    </row>
    <row r="85" spans="1:62">
      <c r="A85" s="1584" t="str">
        <f>'Dépenses BP 2017'!A91</f>
        <v>Formation</v>
      </c>
      <c r="B85" s="489">
        <f>'Dépenses BP 2017'!BJ91*C85</f>
        <v>169.82463542811547</v>
      </c>
      <c r="C85" s="494">
        <f>$C$6/$AG$6</f>
        <v>0.11321642361874365</v>
      </c>
      <c r="D85" s="489">
        <f>'Dépenses BP 2017'!BJ91*E85</f>
        <v>312.57186929413393</v>
      </c>
      <c r="E85" s="494">
        <f>$E$6/$AG$6</f>
        <v>0.20838124619608928</v>
      </c>
      <c r="F85" s="489">
        <f>'Dépenses BP 2017'!BJ91*G85</f>
        <v>168.62757872642422</v>
      </c>
      <c r="G85" s="494">
        <f>$G$6/$AG$6</f>
        <v>0.11241838581761615</v>
      </c>
      <c r="H85" s="495"/>
      <c r="I85" s="495"/>
      <c r="J85" s="489">
        <f>'Dépenses BP 2017'!BJ91*K85</f>
        <v>46.485535927341019</v>
      </c>
      <c r="K85" s="494">
        <f>$K$6/$AG$6</f>
        <v>3.0990357284894014E-2</v>
      </c>
      <c r="L85" s="489">
        <f>'Dépenses BP 2017'!BJ91*M85</f>
        <v>36.874903909562533</v>
      </c>
      <c r="M85" s="494">
        <f>$M$6/$AG$6</f>
        <v>2.4583269273041691E-2</v>
      </c>
      <c r="N85" s="506">
        <f>'Dépenses BP 2017'!BJ91*O85</f>
        <v>88.346901171888604</v>
      </c>
      <c r="O85" s="507">
        <f>$O$6/$AG$6</f>
        <v>5.8897934114592404E-2</v>
      </c>
      <c r="P85" s="508">
        <f>'Dépenses BP 2017'!BJ91*Q85</f>
        <v>21.155778958322482</v>
      </c>
      <c r="Q85" s="510">
        <f>$Q$6/$AG$6</f>
        <v>1.4103852638881654E-2</v>
      </c>
      <c r="R85" s="513">
        <f>'Dépenses BP 2017'!BJ91*S85</f>
        <v>0</v>
      </c>
      <c r="S85" s="514">
        <f>$S$6/$AG$6</f>
        <v>0</v>
      </c>
      <c r="T85" s="501">
        <f>'Dépenses BP 2017'!AQ91</f>
        <v>1129.6202320974339</v>
      </c>
      <c r="U85" s="503" t="e">
        <f>'Dépenses BP 2017'!#REF!</f>
        <v>#REF!</v>
      </c>
      <c r="V85" s="502"/>
      <c r="W85" s="54"/>
      <c r="X85" s="520">
        <f>'Dépenses BP 2017'!BJ91*Y85</f>
        <v>19.937433276515559</v>
      </c>
      <c r="Y85" s="521">
        <f>$Y$6/$AG$6</f>
        <v>1.3291622184343706E-2</v>
      </c>
      <c r="Z85" s="520">
        <f>'Dépenses BP 2017'!BJ91*AA85</f>
        <v>9.5236394871025993</v>
      </c>
      <c r="AA85" s="521">
        <f>$AA$6/$AG$6</f>
        <v>6.349092991401733E-3</v>
      </c>
      <c r="AB85" s="518">
        <f>'Dépenses BP 2017'!BJ91*AC85</f>
        <v>10.387296875933112</v>
      </c>
      <c r="AC85" s="593">
        <f>$AC$6/$AG$6</f>
        <v>6.9248645839554077E-3</v>
      </c>
      <c r="AD85" s="597"/>
      <c r="AE85" s="597"/>
      <c r="AF85" s="54"/>
      <c r="AO85" s="205"/>
      <c r="AQ85" s="61">
        <f>'Dépenses BP 2017'!BJ91*AR85</f>
        <v>33.999427158048277</v>
      </c>
      <c r="AR85" s="94">
        <f>$AR$6/$AG$6</f>
        <v>2.2666284772032187E-2</v>
      </c>
      <c r="AS85" s="61">
        <f>'Dépenses BP 2017'!BJ91*AT85</f>
        <v>4.8814639004903313</v>
      </c>
      <c r="AT85" s="94">
        <f>$AT$6/$AG$6</f>
        <v>3.2543092669935539E-3</v>
      </c>
      <c r="AU85" s="61">
        <f>'Dépenses BP 2017'!B91</f>
        <v>24.109964308358503</v>
      </c>
      <c r="AV85" s="94">
        <f>'Dépenses BP 2017'!C91</f>
        <v>1.6073309538905668E-2</v>
      </c>
      <c r="AW85" s="61">
        <f>'Dépenses BP 2017'!E91</f>
        <v>0</v>
      </c>
      <c r="AX85" s="94">
        <f>'Dépenses BP 2017'!F91</f>
        <v>0</v>
      </c>
      <c r="AY85" s="61">
        <f>'Dépenses BP 2017'!G91</f>
        <v>24.109964308358503</v>
      </c>
      <c r="AZ85" s="94">
        <f>'Dépenses BP 2017'!H91</f>
        <v>1.6073309538905668E-2</v>
      </c>
      <c r="BA85" s="61"/>
      <c r="BB85" s="58">
        <f t="shared" si="3"/>
        <v>14.770926750180106</v>
      </c>
      <c r="BC85" s="211"/>
      <c r="BD85" s="78">
        <f>'Dépenses BP 2017'!Q91</f>
        <v>62.304664817494881</v>
      </c>
      <c r="BE85" s="89">
        <f>'Dépenses BP 2017'!R91</f>
        <v>4.1536443211663256E-2</v>
      </c>
      <c r="BF85" s="78"/>
      <c r="BG85" s="211"/>
      <c r="BH85" s="82">
        <f>'Dépenses BP 2017'!T91</f>
        <v>315.40457275395045</v>
      </c>
      <c r="BI85" s="87">
        <f>'Dépenses BP 2017'!U91</f>
        <v>0.21026971516930029</v>
      </c>
      <c r="BJ85" s="82"/>
    </row>
    <row r="86" spans="1:62">
      <c r="A86" s="1584" t="e">
        <f>'Dépenses BP 2017'!#REF!</f>
        <v>#REF!</v>
      </c>
      <c r="B86" s="489"/>
      <c r="C86" s="494"/>
      <c r="D86" s="489"/>
      <c r="E86" s="494"/>
      <c r="F86" s="489"/>
      <c r="G86" s="494"/>
      <c r="H86" s="495"/>
      <c r="I86" s="495"/>
      <c r="J86" s="489"/>
      <c r="K86" s="494"/>
      <c r="L86" s="489"/>
      <c r="M86" s="494"/>
      <c r="N86" s="506"/>
      <c r="O86" s="507"/>
      <c r="P86" s="508"/>
      <c r="Q86" s="510"/>
      <c r="R86" s="515"/>
      <c r="S86" s="515"/>
      <c r="T86" s="501" t="e">
        <f>'Dépenses BP 2017'!#REF!</f>
        <v>#REF!</v>
      </c>
      <c r="U86" s="503" t="e">
        <f>'Dépenses BP 2017'!#REF!</f>
        <v>#REF!</v>
      </c>
      <c r="V86" s="502"/>
      <c r="W86" s="54"/>
      <c r="X86" s="520"/>
      <c r="Y86" s="521"/>
      <c r="Z86" s="520"/>
      <c r="AA86" s="521"/>
      <c r="AB86" s="519"/>
      <c r="AC86" s="593"/>
      <c r="AD86" s="597"/>
      <c r="AE86" s="597"/>
      <c r="AF86" s="54"/>
      <c r="AO86" s="205"/>
      <c r="AQ86" s="61"/>
      <c r="AR86" s="94"/>
      <c r="AS86" s="61"/>
      <c r="AT86" s="94"/>
      <c r="AU86" s="61"/>
      <c r="AV86" s="94"/>
      <c r="AW86" s="61"/>
      <c r="AX86" s="94"/>
      <c r="AY86" s="61"/>
      <c r="AZ86" s="94"/>
      <c r="BA86" s="61"/>
      <c r="BB86" s="58">
        <f t="shared" si="3"/>
        <v>0</v>
      </c>
      <c r="BC86" s="211"/>
      <c r="BD86" s="78"/>
      <c r="BE86" s="89"/>
      <c r="BF86" s="78"/>
      <c r="BG86" s="211"/>
      <c r="BH86" s="82"/>
      <c r="BI86" s="87"/>
      <c r="BJ86" s="82"/>
    </row>
    <row r="87" spans="1:62">
      <c r="A87" s="67" t="str">
        <f>'Dépenses BP 2017'!A93</f>
        <v>Autres services extérieurs</v>
      </c>
      <c r="B87" s="73">
        <f>SUM(B88:B116)</f>
        <v>5984.3103683750942</v>
      </c>
      <c r="C87" s="88"/>
      <c r="D87" s="73">
        <f>SUM(D88:D116)</f>
        <v>11014.462498705261</v>
      </c>
      <c r="E87" s="88"/>
      <c r="F87" s="73">
        <f>SUM(F88:F116)</f>
        <v>5942.1282738079262</v>
      </c>
      <c r="G87" s="88"/>
      <c r="H87" s="125">
        <f>SUM(H88:H116)</f>
        <v>0</v>
      </c>
      <c r="I87" s="129"/>
      <c r="J87" s="73">
        <f>SUM(J88:J116)</f>
        <v>1638.0654898989108</v>
      </c>
      <c r="K87" s="88"/>
      <c r="L87" s="73">
        <f>SUM(L88:L116)</f>
        <v>1299.4043487420734</v>
      </c>
      <c r="M87" s="88"/>
      <c r="N87" s="73">
        <f>SUM(N88:N116)</f>
        <v>2544.8835903029781</v>
      </c>
      <c r="O87" s="88"/>
      <c r="P87" s="73">
        <f>SUM(P88:P116)</f>
        <v>609.40444992362802</v>
      </c>
      <c r="Q87" s="88"/>
      <c r="R87" s="73">
        <f>SUM(R88:R116)</f>
        <v>0</v>
      </c>
      <c r="S87" s="88"/>
      <c r="T87" s="73">
        <f>'Dépenses BP 2017'!AQ93</f>
        <v>40426.300835899594</v>
      </c>
      <c r="U87" s="88"/>
      <c r="V87" s="131"/>
      <c r="W87" s="53"/>
      <c r="X87" s="73">
        <f>SUM(X88:X116)</f>
        <v>657.68637636558174</v>
      </c>
      <c r="Y87" s="524"/>
      <c r="Z87" s="73">
        <f>SUM(Z88:Z116)</f>
        <v>314.16119904775189</v>
      </c>
      <c r="AA87" s="522"/>
      <c r="AB87" s="62">
        <f>SUM(AB88:AB116)</f>
        <v>342.65110999082043</v>
      </c>
      <c r="AC87" s="594"/>
      <c r="AD87" s="522"/>
      <c r="AE87" s="522"/>
      <c r="AF87" s="53"/>
      <c r="AO87" s="205"/>
      <c r="AQ87" s="62">
        <f>SUM(AQ88:AQ116)</f>
        <v>1258.8359751577716</v>
      </c>
      <c r="AR87" s="93"/>
      <c r="AS87" s="62">
        <f>SUM(AS88:AS116)</f>
        <v>180.73723244824083</v>
      </c>
      <c r="AT87" s="93"/>
      <c r="AU87" s="62">
        <f>'Dépenses BP 2017'!B93</f>
        <v>2629.4723948540145</v>
      </c>
      <c r="AV87" s="93"/>
      <c r="AW87" s="62">
        <f>'Dépenses BP 2017'!E93</f>
        <v>0</v>
      </c>
      <c r="AX87" s="93"/>
      <c r="AY87" s="62">
        <f>'Dépenses BP 2017'!G93</f>
        <v>2629.4723948540145</v>
      </c>
      <c r="AZ87" s="93"/>
      <c r="BA87" s="62" t="str">
        <f>'Dépenses BP 2017'!I93</f>
        <v>/</v>
      </c>
      <c r="BB87" s="58">
        <f t="shared" si="3"/>
        <v>-1189.8991872480021</v>
      </c>
      <c r="BC87" s="211"/>
      <c r="BD87" s="73">
        <f>'Dépenses BP 2017'!Q93</f>
        <v>3620.4646887528447</v>
      </c>
      <c r="BE87" s="88"/>
      <c r="BF87" s="73" t="str">
        <f>'Dépenses BP 2017'!S93</f>
        <v>/</v>
      </c>
      <c r="BG87" s="211"/>
      <c r="BH87" s="73">
        <f>'Dépenses BP 2017'!T93</f>
        <v>21149.217418236934</v>
      </c>
      <c r="BI87" s="88"/>
      <c r="BJ87" s="83"/>
    </row>
    <row r="88" spans="1:62">
      <c r="A88" s="1584" t="str">
        <f>'Dépenses BP 2017'!A94</f>
        <v>Personnel mis à dispo</v>
      </c>
      <c r="B88" s="489">
        <f>'Dépenses BP 2017'!BJ94*C88</f>
        <v>78.119332296933123</v>
      </c>
      <c r="C88" s="494">
        <f>$C$6/$AG$6</f>
        <v>0.11321642361874365</v>
      </c>
      <c r="D88" s="489">
        <f>'Dépenses BP 2017'!BJ94*E88</f>
        <v>143.7830598753016</v>
      </c>
      <c r="E88" s="494">
        <f>$E$6/$AG$6</f>
        <v>0.20838124619608928</v>
      </c>
      <c r="F88" s="489">
        <f>'Dépenses BP 2017'!BJ94*G88</f>
        <v>77.56868621415515</v>
      </c>
      <c r="G88" s="494">
        <f>$G$6/$AG$6</f>
        <v>0.11241838581761615</v>
      </c>
      <c r="H88" s="495"/>
      <c r="I88" s="495"/>
      <c r="J88" s="489">
        <f>'Dépenses BP 2017'!BJ94*K88</f>
        <v>21.383346526576869</v>
      </c>
      <c r="K88" s="494">
        <f>$K$6/$AG$6</f>
        <v>3.0990357284894014E-2</v>
      </c>
      <c r="L88" s="489">
        <f>'Dépenses BP 2017'!BJ94*M88</f>
        <v>16.962455798398768</v>
      </c>
      <c r="M88" s="494">
        <f>$M$6/$AG$6</f>
        <v>2.4583269273041691E-2</v>
      </c>
      <c r="N88" s="506">
        <f>'Dépenses BP 2017'!BJ94*O88</f>
        <v>40.639574539068761</v>
      </c>
      <c r="O88" s="507">
        <f>$O$6/$AG$6</f>
        <v>5.8897934114592404E-2</v>
      </c>
      <c r="P88" s="508">
        <f>'Dépenses BP 2017'!BJ94*Q88</f>
        <v>9.7316583208283411</v>
      </c>
      <c r="Q88" s="510">
        <f>$Q$6/$AG$6</f>
        <v>1.4103852638881654E-2</v>
      </c>
      <c r="R88" s="513">
        <f>'Dépenses BP 2017'!BJ94*S88</f>
        <v>0</v>
      </c>
      <c r="S88" s="514">
        <f>$S$6/$AG$6</f>
        <v>0</v>
      </c>
      <c r="T88" s="501">
        <f>'Dépenses BP 2017'!AQ94</f>
        <v>519.62530676481958</v>
      </c>
      <c r="U88" s="503" t="e">
        <f>'Dépenses BP 2017'!#REF!</f>
        <v>#REF!</v>
      </c>
      <c r="V88" s="502"/>
      <c r="W88" s="54"/>
      <c r="X88" s="520">
        <f>'Dépenses BP 2017'!BJ94*Y88</f>
        <v>9.1712193071971573</v>
      </c>
      <c r="Y88" s="521">
        <f>$Y$6/$AG$6</f>
        <v>1.3291622184343706E-2</v>
      </c>
      <c r="Z88" s="520">
        <f>'Dépenses BP 2017'!BJ94*AA88</f>
        <v>4.3808741640671958</v>
      </c>
      <c r="AA88" s="521">
        <f>$AA$6/$AG$6</f>
        <v>6.349092991401733E-3</v>
      </c>
      <c r="AB88" s="518">
        <f>'Dépenses BP 2017'!BJ94*AC88</f>
        <v>4.7781565629292313</v>
      </c>
      <c r="AC88" s="593">
        <f>$AC$6/$AG$6</f>
        <v>6.9248645839554077E-3</v>
      </c>
      <c r="AD88" s="597"/>
      <c r="AE88" s="597"/>
      <c r="AF88" s="54"/>
      <c r="AO88" s="205"/>
      <c r="AQ88" s="61">
        <f>'Dépenses BP 2017'!BJ94*AR88</f>
        <v>15.639736492702209</v>
      </c>
      <c r="AR88" s="455">
        <f>$AR$6/$AG$6</f>
        <v>2.2666284772032187E-2</v>
      </c>
      <c r="AS88" s="61">
        <f>'Dépenses BP 2017'!BJ94*AT88</f>
        <v>2.2454733942255523</v>
      </c>
      <c r="AT88" s="94">
        <f>$AT$6/$AG$6</f>
        <v>3.2543092669935539E-3</v>
      </c>
      <c r="AU88" s="61">
        <f>'Dépenses BP 2017'!B94</f>
        <v>11.090583581844911</v>
      </c>
      <c r="AV88" s="94">
        <f>'Dépenses BP 2017'!C94</f>
        <v>1.6073309538905668E-2</v>
      </c>
      <c r="AW88" s="61">
        <f>'Dépenses BP 2017'!E94</f>
        <v>0</v>
      </c>
      <c r="AX88" s="94">
        <f>'Dépenses BP 2017'!F94</f>
        <v>0</v>
      </c>
      <c r="AY88" s="61">
        <f>'Dépenses BP 2017'!G94</f>
        <v>11.090583581844911</v>
      </c>
      <c r="AZ88" s="94">
        <f>'Dépenses BP 2017'!H94</f>
        <v>1.6073309538905668E-2</v>
      </c>
      <c r="BA88" s="61"/>
      <c r="BB88" s="58">
        <f t="shared" si="3"/>
        <v>6.7946263050828506</v>
      </c>
      <c r="BC88" s="211"/>
      <c r="BD88" s="78">
        <f>'Dépenses BP 2017'!Q94</f>
        <v>28.660145816047645</v>
      </c>
      <c r="BE88" s="89">
        <f>'Dépenses BP 2017'!R94</f>
        <v>4.1536443211663256E-2</v>
      </c>
      <c r="BF88" s="78"/>
      <c r="BG88" s="211"/>
      <c r="BH88" s="82">
        <f>'Dépenses BP 2017'!T94</f>
        <v>145.08610346681721</v>
      </c>
      <c r="BI88" s="87">
        <f>'Dépenses BP 2017'!U94</f>
        <v>0.21026971516930029</v>
      </c>
      <c r="BJ88" s="82"/>
    </row>
    <row r="89" spans="1:62">
      <c r="A89" s="1584" t="str">
        <f>'Dépenses BP 2017'!A95</f>
        <v>Consultant ML</v>
      </c>
      <c r="B89" s="489">
        <f>'Dépenses BP 2017'!BJ95*C89</f>
        <v>814.91643175050604</v>
      </c>
      <c r="C89" s="494">
        <f>C6/($C$6+$E$6+$G$6+$K$6+$M$6)</f>
        <v>0.23124756860116516</v>
      </c>
      <c r="D89" s="489">
        <f>'Dépenses BP 2017'!BJ95*E89</f>
        <v>1499.8998923132135</v>
      </c>
      <c r="E89" s="494">
        <f>E6/($C$6+$E$6+$G$6+$K$6+$M$6)</f>
        <v>0.42562426002077569</v>
      </c>
      <c r="F89" s="489">
        <f>'Dépenses BP 2017'!BJ95*G89</f>
        <v>809.17226410671208</v>
      </c>
      <c r="G89" s="494">
        <f>G6/($C$6+$E$6+$G$6+$K$6+$M$6)</f>
        <v>0.22961755508135984</v>
      </c>
      <c r="H89" s="495"/>
      <c r="I89" s="495"/>
      <c r="J89" s="489">
        <f>'Dépenses BP 2017'!BJ95*K89</f>
        <v>223.0643803263371</v>
      </c>
      <c r="K89" s="494">
        <f>K6/($C$6+$E$6+$G$6+$K$6+$M$6)</f>
        <v>6.329863232869952E-2</v>
      </c>
      <c r="L89" s="489">
        <f>'Dépenses BP 2017'!BJ95*M89</f>
        <v>176.94703150323107</v>
      </c>
      <c r="M89" s="494">
        <f>M6/($C$6+$E$6+$G$6+$K$6+$M$6)</f>
        <v>5.0211983967999738E-2</v>
      </c>
      <c r="N89" s="506"/>
      <c r="O89" s="507"/>
      <c r="P89" s="508"/>
      <c r="Q89" s="510"/>
      <c r="R89" s="515">
        <f>'Dépenses BP 2017'!BJ95*S89</f>
        <v>0</v>
      </c>
      <c r="S89" s="515">
        <f>$S$6/$V$6</f>
        <v>0</v>
      </c>
      <c r="T89" s="501">
        <f>'Dépenses BP 2017'!AQ95</f>
        <v>3524</v>
      </c>
      <c r="U89" s="503" t="e">
        <f>'Dépenses BP 2017'!#REF!</f>
        <v>#REF!</v>
      </c>
      <c r="V89" s="502"/>
      <c r="W89" s="54"/>
      <c r="X89" s="520">
        <f>'Dépenses BP 2017'!BJ95*Y89</f>
        <v>62.197465015287278</v>
      </c>
      <c r="Y89" s="521">
        <f>$Y$6/$V$6</f>
        <v>1.764967792715303E-2</v>
      </c>
      <c r="Z89" s="520">
        <f>'Dépenses BP 2017'!BJ95*AA89</f>
        <v>29.710255357443682</v>
      </c>
      <c r="AA89" s="521">
        <f>$AA$6/$V$6</f>
        <v>8.4308329618171633E-3</v>
      </c>
      <c r="AB89" s="518">
        <f>'Dépenses BP 2017'!BJ95*AC89</f>
        <v>32.404549025137314</v>
      </c>
      <c r="AC89" s="593">
        <f>$AC$6/$V$6</f>
        <v>9.1953884861343121E-3</v>
      </c>
      <c r="AD89" s="597"/>
      <c r="AE89" s="597"/>
      <c r="AF89" s="54"/>
      <c r="AO89" s="205"/>
      <c r="AQ89" s="61"/>
      <c r="AR89" s="455"/>
      <c r="AS89" s="61"/>
      <c r="AT89" s="94"/>
      <c r="AU89" s="61"/>
      <c r="AV89" s="94"/>
      <c r="AW89" s="61"/>
      <c r="AX89" s="94"/>
      <c r="AY89" s="61"/>
      <c r="AZ89" s="94"/>
      <c r="BA89" s="61"/>
      <c r="BB89" s="58"/>
      <c r="BC89" s="211"/>
      <c r="BD89" s="78"/>
      <c r="BE89" s="89"/>
      <c r="BF89" s="78"/>
      <c r="BG89" s="211"/>
      <c r="BH89" s="82"/>
      <c r="BI89" s="87"/>
      <c r="BJ89" s="82"/>
    </row>
    <row r="90" spans="1:62">
      <c r="A90" s="1584" t="str">
        <f>'Dépenses BP 2017'!A96</f>
        <v>Consultant MDE</v>
      </c>
      <c r="B90" s="489"/>
      <c r="C90" s="494"/>
      <c r="D90" s="489"/>
      <c r="E90" s="494"/>
      <c r="F90" s="489"/>
      <c r="G90" s="494"/>
      <c r="H90" s="495"/>
      <c r="I90" s="495"/>
      <c r="J90" s="489"/>
      <c r="K90" s="494"/>
      <c r="L90" s="489"/>
      <c r="M90" s="494"/>
      <c r="N90" s="506"/>
      <c r="O90" s="507"/>
      <c r="P90" s="508"/>
      <c r="Q90" s="510"/>
      <c r="R90" s="515"/>
      <c r="S90" s="515"/>
      <c r="T90" s="501"/>
      <c r="U90" s="503"/>
      <c r="V90" s="502"/>
      <c r="W90" s="54"/>
      <c r="X90" s="520"/>
      <c r="Y90" s="521"/>
      <c r="Z90" s="520"/>
      <c r="AA90" s="521"/>
      <c r="AB90" s="519"/>
      <c r="AC90" s="593"/>
      <c r="AD90" s="597"/>
      <c r="AE90" s="597"/>
      <c r="AF90" s="54"/>
      <c r="AO90" s="205"/>
      <c r="AQ90" s="61"/>
      <c r="AR90" s="94"/>
      <c r="AS90" s="61"/>
      <c r="AT90" s="94"/>
      <c r="AU90" s="61"/>
      <c r="AV90" s="94"/>
      <c r="AW90" s="61"/>
      <c r="AX90" s="94"/>
      <c r="AY90" s="61"/>
      <c r="AZ90" s="94"/>
      <c r="BA90" s="61"/>
      <c r="BB90" s="58">
        <f t="shared" si="3"/>
        <v>0</v>
      </c>
      <c r="BC90" s="211"/>
      <c r="BD90" s="78"/>
      <c r="BE90" s="89"/>
      <c r="BF90" s="78"/>
      <c r="BG90" s="211"/>
      <c r="BH90" s="82">
        <f>'Dépenses BP 2017'!T96</f>
        <v>2500</v>
      </c>
      <c r="BI90" s="87">
        <f>'Dépenses BP 2017'!U96</f>
        <v>1</v>
      </c>
      <c r="BJ90" s="82"/>
    </row>
    <row r="91" spans="1:62">
      <c r="A91" s="1584" t="str">
        <f>'Dépenses BP 2017'!A97</f>
        <v>Consultant MDE - GPEC-T/revitalisation/contrat ville</v>
      </c>
      <c r="B91" s="489"/>
      <c r="C91" s="494"/>
      <c r="D91" s="489"/>
      <c r="E91" s="494"/>
      <c r="F91" s="489"/>
      <c r="G91" s="494"/>
      <c r="H91" s="495"/>
      <c r="I91" s="495"/>
      <c r="J91" s="489"/>
      <c r="K91" s="494"/>
      <c r="L91" s="489"/>
      <c r="M91" s="494"/>
      <c r="N91" s="506"/>
      <c r="O91" s="507"/>
      <c r="P91" s="508"/>
      <c r="Q91" s="510"/>
      <c r="R91" s="515"/>
      <c r="S91" s="515"/>
      <c r="T91" s="501"/>
      <c r="U91" s="503"/>
      <c r="V91" s="502"/>
      <c r="W91" s="54"/>
      <c r="X91" s="520"/>
      <c r="Y91" s="521"/>
      <c r="Z91" s="520"/>
      <c r="AA91" s="521"/>
      <c r="AB91" s="519"/>
      <c r="AC91" s="593"/>
      <c r="AD91" s="597"/>
      <c r="AE91" s="597"/>
      <c r="AF91" s="54"/>
      <c r="AO91" s="205"/>
      <c r="AQ91" s="61"/>
      <c r="AR91" s="94"/>
      <c r="AS91" s="61"/>
      <c r="AT91" s="94"/>
      <c r="AU91" s="61"/>
      <c r="AV91" s="94"/>
      <c r="AW91" s="61"/>
      <c r="AX91" s="94"/>
      <c r="AY91" s="61"/>
      <c r="AZ91" s="94"/>
      <c r="BA91" s="61"/>
      <c r="BB91" s="58"/>
      <c r="BC91" s="211"/>
      <c r="BD91" s="78"/>
      <c r="BE91" s="89"/>
      <c r="BF91" s="78"/>
      <c r="BG91" s="211"/>
      <c r="BH91" s="82"/>
      <c r="BI91" s="87"/>
      <c r="BJ91" s="82"/>
    </row>
    <row r="92" spans="1:62">
      <c r="A92" s="1584" t="str">
        <f>'Dépenses BP 2017'!A98</f>
        <v>Consultant gpe DRH</v>
      </c>
      <c r="B92" s="489"/>
      <c r="C92" s="494"/>
      <c r="D92" s="489"/>
      <c r="E92" s="494"/>
      <c r="F92" s="489"/>
      <c r="G92" s="494"/>
      <c r="H92" s="495"/>
      <c r="I92" s="495"/>
      <c r="J92" s="489"/>
      <c r="K92" s="494"/>
      <c r="L92" s="489"/>
      <c r="M92" s="494"/>
      <c r="N92" s="506"/>
      <c r="O92" s="507"/>
      <c r="P92" s="508"/>
      <c r="Q92" s="510"/>
      <c r="R92" s="515"/>
      <c r="S92" s="515"/>
      <c r="T92" s="501"/>
      <c r="U92" s="503"/>
      <c r="V92" s="502"/>
      <c r="W92" s="54"/>
      <c r="X92" s="520"/>
      <c r="Y92" s="521"/>
      <c r="Z92" s="520"/>
      <c r="AA92" s="521"/>
      <c r="AB92" s="519"/>
      <c r="AC92" s="593"/>
      <c r="AD92" s="597"/>
      <c r="AE92" s="597"/>
      <c r="AF92" s="54"/>
      <c r="AO92" s="205"/>
      <c r="AQ92" s="61"/>
      <c r="AR92" s="94"/>
      <c r="AS92" s="61"/>
      <c r="AT92" s="94"/>
      <c r="AU92" s="61"/>
      <c r="AV92" s="94"/>
      <c r="AW92" s="61"/>
      <c r="AX92" s="94"/>
      <c r="AY92" s="61"/>
      <c r="AZ92" s="94"/>
      <c r="BA92" s="61"/>
      <c r="BB92" s="58">
        <f t="shared" si="3"/>
        <v>0</v>
      </c>
      <c r="BC92" s="211"/>
      <c r="BD92" s="78"/>
      <c r="BE92" s="89"/>
      <c r="BF92" s="78"/>
      <c r="BG92" s="211"/>
      <c r="BH92" s="82">
        <f>'Dépenses BP 2017'!T98</f>
        <v>1500</v>
      </c>
      <c r="BI92" s="87">
        <f>'Dépenses BP 2017'!U98</f>
        <v>1</v>
      </c>
      <c r="BJ92" s="82"/>
    </row>
    <row r="93" spans="1:62">
      <c r="A93" s="1584" t="str">
        <f>'Dépenses BP 2017'!A99</f>
        <v>Personnel spécifique</v>
      </c>
      <c r="B93" s="489"/>
      <c r="C93" s="494"/>
      <c r="D93" s="489"/>
      <c r="E93" s="494"/>
      <c r="F93" s="489"/>
      <c r="G93" s="494"/>
      <c r="H93" s="495"/>
      <c r="I93" s="495"/>
      <c r="J93" s="489"/>
      <c r="K93" s="494"/>
      <c r="L93" s="489"/>
      <c r="M93" s="494"/>
      <c r="N93" s="506"/>
      <c r="O93" s="507"/>
      <c r="P93" s="508"/>
      <c r="Q93" s="510"/>
      <c r="R93" s="515"/>
      <c r="S93" s="515"/>
      <c r="T93" s="501"/>
      <c r="U93" s="503"/>
      <c r="V93" s="502"/>
      <c r="W93" s="54"/>
      <c r="X93" s="520"/>
      <c r="Y93" s="521"/>
      <c r="Z93" s="520"/>
      <c r="AA93" s="521"/>
      <c r="AB93" s="519"/>
      <c r="AC93" s="593"/>
      <c r="AD93" s="597"/>
      <c r="AE93" s="597"/>
      <c r="AF93" s="54"/>
      <c r="AO93" s="205"/>
      <c r="AQ93" s="61"/>
      <c r="AR93" s="94"/>
      <c r="AS93" s="61"/>
      <c r="AT93" s="94"/>
      <c r="AU93" s="61"/>
      <c r="AV93" s="94"/>
      <c r="AW93" s="61"/>
      <c r="AX93" s="94"/>
      <c r="AY93" s="61"/>
      <c r="AZ93" s="94"/>
      <c r="BA93" s="61"/>
      <c r="BB93" s="58"/>
      <c r="BC93" s="211"/>
      <c r="BD93" s="78"/>
      <c r="BE93" s="89"/>
      <c r="BF93" s="78"/>
      <c r="BG93" s="211"/>
      <c r="BH93" s="82"/>
      <c r="BI93" s="87"/>
      <c r="BJ93" s="82"/>
    </row>
    <row r="94" spans="1:62">
      <c r="A94" s="1584" t="str">
        <f>'Dépenses BP 2017'!A100</f>
        <v>Consultant GPEC T</v>
      </c>
      <c r="B94" s="489"/>
      <c r="C94" s="494"/>
      <c r="D94" s="489"/>
      <c r="E94" s="494"/>
      <c r="F94" s="489"/>
      <c r="G94" s="494"/>
      <c r="H94" s="495"/>
      <c r="I94" s="495"/>
      <c r="J94" s="489"/>
      <c r="K94" s="494"/>
      <c r="L94" s="489"/>
      <c r="M94" s="494"/>
      <c r="N94" s="506"/>
      <c r="O94" s="507"/>
      <c r="P94" s="508"/>
      <c r="Q94" s="510"/>
      <c r="R94" s="515"/>
      <c r="S94" s="515"/>
      <c r="T94" s="501"/>
      <c r="U94" s="503"/>
      <c r="V94" s="502"/>
      <c r="W94" s="54"/>
      <c r="X94" s="520"/>
      <c r="Y94" s="521"/>
      <c r="Z94" s="520"/>
      <c r="AA94" s="521"/>
      <c r="AB94" s="519"/>
      <c r="AC94" s="593"/>
      <c r="AD94" s="597"/>
      <c r="AE94" s="597"/>
      <c r="AF94" s="54"/>
      <c r="AO94" s="205"/>
      <c r="AQ94" s="61"/>
      <c r="AR94" s="94"/>
      <c r="AS94" s="61"/>
      <c r="AT94" s="94"/>
      <c r="AU94" s="61"/>
      <c r="AV94" s="94"/>
      <c r="AW94" s="61"/>
      <c r="AX94" s="94"/>
      <c r="AY94" s="61"/>
      <c r="AZ94" s="94"/>
      <c r="BA94" s="61"/>
      <c r="BB94" s="58">
        <f t="shared" si="3"/>
        <v>0</v>
      </c>
      <c r="BC94" s="211"/>
      <c r="BD94" s="78"/>
      <c r="BE94" s="89"/>
      <c r="BF94" s="78"/>
      <c r="BG94" s="211"/>
      <c r="BH94" s="82">
        <f>'Dépenses BP 2017'!T100</f>
        <v>0</v>
      </c>
      <c r="BI94" s="87">
        <f>'Dépenses BP 2017'!U100</f>
        <v>0</v>
      </c>
      <c r="BJ94" s="82"/>
    </row>
    <row r="95" spans="1:62">
      <c r="A95" s="1584" t="str">
        <f>'Dépenses BP 2017'!A101</f>
        <v>Consultant DLA MEF</v>
      </c>
      <c r="B95" s="489"/>
      <c r="C95" s="494"/>
      <c r="D95" s="489"/>
      <c r="E95" s="494"/>
      <c r="F95" s="489"/>
      <c r="G95" s="494"/>
      <c r="H95" s="495"/>
      <c r="I95" s="495"/>
      <c r="J95" s="489"/>
      <c r="K95" s="494"/>
      <c r="L95" s="489"/>
      <c r="M95" s="494"/>
      <c r="N95" s="506"/>
      <c r="O95" s="507"/>
      <c r="P95" s="508"/>
      <c r="Q95" s="510"/>
      <c r="R95" s="515"/>
      <c r="S95" s="515"/>
      <c r="T95" s="501"/>
      <c r="U95" s="503"/>
      <c r="V95" s="502"/>
      <c r="W95" s="54"/>
      <c r="X95" s="520"/>
      <c r="Y95" s="521"/>
      <c r="Z95" s="520"/>
      <c r="AA95" s="521"/>
      <c r="AB95" s="519"/>
      <c r="AC95" s="593"/>
      <c r="AD95" s="597"/>
      <c r="AE95" s="597"/>
      <c r="AF95" s="54"/>
      <c r="AO95" s="205"/>
      <c r="AQ95" s="61"/>
      <c r="AR95" s="94"/>
      <c r="AS95" s="61"/>
      <c r="AT95" s="94"/>
      <c r="AU95" s="61"/>
      <c r="AV95" s="94"/>
      <c r="AW95" s="61"/>
      <c r="AX95" s="94"/>
      <c r="AY95" s="61">
        <f>'Dépenses BP 2017'!G101</f>
        <v>28.931957170030202</v>
      </c>
      <c r="AZ95" s="94">
        <f>'Dépenses BP 2017'!H101</f>
        <v>1.6073309538905668E-2</v>
      </c>
      <c r="BA95" s="61"/>
      <c r="BB95" s="58">
        <f t="shared" si="3"/>
        <v>0</v>
      </c>
      <c r="BC95" s="211"/>
      <c r="BD95" s="78"/>
      <c r="BE95" s="89"/>
      <c r="BF95" s="78"/>
      <c r="BG95" s="211"/>
      <c r="BH95" s="82">
        <f>'Dépenses BP 2017'!T101</f>
        <v>378.48548730474056</v>
      </c>
      <c r="BI95" s="87">
        <f>'Dépenses BP 2017'!U101</f>
        <v>0.21026971516930029</v>
      </c>
      <c r="BJ95" s="82"/>
    </row>
    <row r="96" spans="1:62">
      <c r="A96" s="1584" t="str">
        <f>'Dépenses BP 2017'!A103</f>
        <v>Honoraires expert comptable</v>
      </c>
      <c r="B96" s="489">
        <f>'Dépenses BP 2017'!BJ103*C96</f>
        <v>1324.6321563393008</v>
      </c>
      <c r="C96" s="494">
        <f>$C$6/$AG$6</f>
        <v>0.11321642361874365</v>
      </c>
      <c r="D96" s="489">
        <f>'Dépenses BP 2017'!BJ103*E96</f>
        <v>2438.0605804942447</v>
      </c>
      <c r="E96" s="494">
        <f>$E$6/$AG$6</f>
        <v>0.20838124619608928</v>
      </c>
      <c r="F96" s="489">
        <f>'Dépenses BP 2017'!BJ103*G96</f>
        <v>1315.2951140661089</v>
      </c>
      <c r="G96" s="494">
        <f>$G$6/$AG$6</f>
        <v>0.11241838581761615</v>
      </c>
      <c r="H96" s="495"/>
      <c r="I96" s="495"/>
      <c r="J96" s="489">
        <f>'Dépenses BP 2017'!BJ103*K96</f>
        <v>362.58718023325997</v>
      </c>
      <c r="K96" s="494">
        <f>$K$6/$AG$6</f>
        <v>3.0990357284894014E-2</v>
      </c>
      <c r="L96" s="489">
        <f>'Dépenses BP 2017'!BJ103*M96</f>
        <v>287.62425049458778</v>
      </c>
      <c r="M96" s="494">
        <f>$M$6/$AG$6</f>
        <v>2.4583269273041691E-2</v>
      </c>
      <c r="N96" s="506">
        <f>'Dépenses BP 2017'!BJ103*O96</f>
        <v>689.10582914073109</v>
      </c>
      <c r="O96" s="507">
        <f>$O$6/$AG$6</f>
        <v>5.8897934114592404E-2</v>
      </c>
      <c r="P96" s="508">
        <f>'Dépenses BP 2017'!BJ103*Q96</f>
        <v>165.01507587491537</v>
      </c>
      <c r="Q96" s="510">
        <f>$Q$6/$AG$6</f>
        <v>1.4103852638881654E-2</v>
      </c>
      <c r="R96" s="513">
        <f>'Dépenses BP 2017'!BJ103*S96</f>
        <v>0</v>
      </c>
      <c r="S96" s="514">
        <f>$S$6/$AG$6</f>
        <v>0</v>
      </c>
      <c r="T96" s="501">
        <f>'Dépenses BP 2017'!AQ103</f>
        <v>8811.0378103599833</v>
      </c>
      <c r="U96" s="503" t="e">
        <f>'Dépenses BP 2017'!#REF!</f>
        <v>#REF!</v>
      </c>
      <c r="V96" s="502"/>
      <c r="W96" s="54"/>
      <c r="X96" s="520">
        <f>'Dépenses BP 2017'!BJ103*Y96</f>
        <v>155.51197955682136</v>
      </c>
      <c r="Y96" s="521">
        <f>$Y$6/$AG$6</f>
        <v>1.3291622184343706E-2</v>
      </c>
      <c r="Z96" s="520">
        <f>'Dépenses BP 2017'!BJ103*AA96</f>
        <v>74.28438799940028</v>
      </c>
      <c r="AA96" s="521">
        <f>$AA$6/$AG$6</f>
        <v>6.349092991401733E-3</v>
      </c>
      <c r="AB96" s="518">
        <f>'Dépenses BP 2017'!BJ103*AC96</f>
        <v>81.020915632278275</v>
      </c>
      <c r="AC96" s="593">
        <f>$AC$6/$AG$6</f>
        <v>6.9248645839554077E-3</v>
      </c>
      <c r="AD96" s="597"/>
      <c r="AE96" s="597"/>
      <c r="AF96" s="54"/>
      <c r="AO96" s="205"/>
      <c r="AQ96" s="61">
        <f>'Dépenses BP 2017'!BJ103*AR96</f>
        <v>265.19553183277657</v>
      </c>
      <c r="AR96" s="94">
        <f>$AR$6/$AG$6</f>
        <v>2.2666284772032187E-2</v>
      </c>
      <c r="AS96" s="61">
        <f>'Dépenses BP 2017'!BJ103*AT96</f>
        <v>38.07541842382458</v>
      </c>
      <c r="AT96" s="94">
        <f>$AT$6/$AG$6</f>
        <v>3.2543092669935539E-3</v>
      </c>
      <c r="AU96" s="61">
        <f>'Dépenses BP 2017'!B103</f>
        <v>188.05772160519632</v>
      </c>
      <c r="AV96" s="94">
        <f>'Dépenses BP 2017'!C103</f>
        <v>1.6073309538905668E-2</v>
      </c>
      <c r="AW96" s="61">
        <f>'Dépenses BP 2017'!E103</f>
        <v>0</v>
      </c>
      <c r="AX96" s="94">
        <f>'Dépenses BP 2017'!F103</f>
        <v>0</v>
      </c>
      <c r="AY96" s="61">
        <f>'Dépenses BP 2017'!G103</f>
        <v>188.05772160519632</v>
      </c>
      <c r="AZ96" s="94">
        <f>'Dépenses BP 2017'!H103</f>
        <v>1.6073309538905668E-2</v>
      </c>
      <c r="BA96" s="61"/>
      <c r="BB96" s="58">
        <f t="shared" si="3"/>
        <v>115.21322865140485</v>
      </c>
      <c r="BC96" s="211"/>
      <c r="BD96" s="78">
        <f>'Dépenses BP 2017'!Q103</f>
        <v>485.97638557646007</v>
      </c>
      <c r="BE96" s="89">
        <f>'Dépenses BP 2017'!R103</f>
        <v>4.1536443211663256E-2</v>
      </c>
      <c r="BF96" s="78"/>
      <c r="BG96" s="211"/>
      <c r="BH96" s="82">
        <f>'Dépenses BP 2017'!T103</f>
        <v>2460.1556674808135</v>
      </c>
      <c r="BI96" s="87">
        <f>'Dépenses BP 2017'!U103</f>
        <v>0.21026971516930029</v>
      </c>
      <c r="BJ96" s="82"/>
    </row>
    <row r="97" spans="1:62">
      <c r="A97" s="1584" t="str">
        <f>'Dépenses BP 2017'!A104</f>
        <v>Honoraires CAC</v>
      </c>
      <c r="B97" s="489">
        <f>'Dépenses BP 2017'!BJ104*C97</f>
        <v>588.72540281746694</v>
      </c>
      <c r="C97" s="494">
        <f>$C$6/$AG$6</f>
        <v>0.11321642361874365</v>
      </c>
      <c r="D97" s="489">
        <f>'Dépenses BP 2017'!BJ104*E97</f>
        <v>1083.5824802196641</v>
      </c>
      <c r="E97" s="494">
        <f>$E$6/$AG$6</f>
        <v>0.20838124619608928</v>
      </c>
      <c r="F97" s="489">
        <f>'Dépenses BP 2017'!BJ104*G97</f>
        <v>584.57560625160397</v>
      </c>
      <c r="G97" s="494">
        <f>$G$6/$AG$6</f>
        <v>0.11241838581761615</v>
      </c>
      <c r="H97" s="495"/>
      <c r="I97" s="495"/>
      <c r="J97" s="489">
        <f>'Dépenses BP 2017'!BJ104*K97</f>
        <v>161.14985788144887</v>
      </c>
      <c r="K97" s="494">
        <f>$K$6/$AG$6</f>
        <v>3.0990357284894014E-2</v>
      </c>
      <c r="L97" s="489">
        <f>'Dépenses BP 2017'!BJ104*M97</f>
        <v>127.8330002198168</v>
      </c>
      <c r="M97" s="494">
        <f>$M$6/$AG$6</f>
        <v>2.4583269273041691E-2</v>
      </c>
      <c r="N97" s="506">
        <f>'Dépenses BP 2017'!BJ104*O97</f>
        <v>306.26925739588052</v>
      </c>
      <c r="O97" s="507">
        <f>$O$6/$AG$6</f>
        <v>5.8897934114592404E-2</v>
      </c>
      <c r="P97" s="508">
        <f>'Dépenses BP 2017'!BJ104*Q97</f>
        <v>73.3400337221846</v>
      </c>
      <c r="Q97" s="510">
        <f>$Q$6/$AG$6</f>
        <v>1.4103852638881654E-2</v>
      </c>
      <c r="R97" s="513">
        <f>'Dépenses BP 2017'!BJ104*S97</f>
        <v>0</v>
      </c>
      <c r="S97" s="514">
        <f>$S$6/$AG$6</f>
        <v>0</v>
      </c>
      <c r="T97" s="501">
        <f>'Dépenses BP 2017'!AQ104</f>
        <v>3916.0168046044373</v>
      </c>
      <c r="U97" s="503" t="e">
        <f>'Dépenses BP 2017'!#REF!</f>
        <v>#REF!</v>
      </c>
      <c r="V97" s="502"/>
      <c r="W97" s="54"/>
      <c r="X97" s="520">
        <f>'Dépenses BP 2017'!BJ104*Y97</f>
        <v>69.116435358587268</v>
      </c>
      <c r="Y97" s="521">
        <f>$Y$6/$AG$6</f>
        <v>1.3291622184343706E-2</v>
      </c>
      <c r="Z97" s="520">
        <f>'Dépenses BP 2017'!BJ104*AA97</f>
        <v>33.01528355528901</v>
      </c>
      <c r="AA97" s="521">
        <f>$AA$6/$AG$6</f>
        <v>6.349092991401733E-3</v>
      </c>
      <c r="AB97" s="518">
        <f>'Dépenses BP 2017'!BJ104*AC97</f>
        <v>36.009295836568121</v>
      </c>
      <c r="AC97" s="593">
        <f>$AC$6/$AG$6</f>
        <v>6.9248645839554077E-3</v>
      </c>
      <c r="AD97" s="597"/>
      <c r="AE97" s="597"/>
      <c r="AF97" s="54"/>
      <c r="AO97" s="205"/>
      <c r="AQ97" s="61">
        <f>'Dépenses BP 2017'!BJ104*AR97</f>
        <v>117.86468081456736</v>
      </c>
      <c r="AR97" s="94">
        <f>$AR$6/$AG$6</f>
        <v>2.2666284772032187E-2</v>
      </c>
      <c r="AS97" s="61">
        <f>'Dépenses BP 2017'!BJ104*AT97</f>
        <v>16.922408188366479</v>
      </c>
      <c r="AT97" s="94">
        <f>$AT$6/$AG$6</f>
        <v>3.2543092669935539E-3</v>
      </c>
      <c r="AU97" s="61">
        <f>'Dépenses BP 2017'!B104</f>
        <v>83.581209602309471</v>
      </c>
      <c r="AV97" s="94">
        <f>'Dépenses BP 2017'!C104</f>
        <v>1.6073309538905668E-2</v>
      </c>
      <c r="AW97" s="61">
        <f>'Dépenses BP 2017'!E104</f>
        <v>0</v>
      </c>
      <c r="AX97" s="94">
        <f>'Dépenses BP 2017'!F104</f>
        <v>0</v>
      </c>
      <c r="AY97" s="61">
        <f>'Dépenses BP 2017'!G104</f>
        <v>83.581209602309471</v>
      </c>
      <c r="AZ97" s="94">
        <f>'Dépenses BP 2017'!H104</f>
        <v>1.6073309538905668E-2</v>
      </c>
      <c r="BA97" s="61"/>
      <c r="BB97" s="58">
        <f t="shared" si="3"/>
        <v>51.205879400624369</v>
      </c>
      <c r="BC97" s="211"/>
      <c r="BD97" s="78">
        <f>'Dépenses BP 2017'!Q104</f>
        <v>215.98950470064892</v>
      </c>
      <c r="BE97" s="89">
        <f>'Dépenses BP 2017'!R104</f>
        <v>4.1536443211663256E-2</v>
      </c>
      <c r="BF97" s="78"/>
      <c r="BG97" s="211"/>
      <c r="BH97" s="82">
        <f>'Dépenses BP 2017'!T104</f>
        <v>1093.4025188803616</v>
      </c>
      <c r="BI97" s="87">
        <f>'Dépenses BP 2017'!U104</f>
        <v>0.21026971516930029</v>
      </c>
      <c r="BJ97" s="82"/>
    </row>
    <row r="98" spans="1:62">
      <c r="A98" s="1584" t="str">
        <f>'Dépenses BP 2017'!A105</f>
        <v>Frais d'acte et de contentieux</v>
      </c>
      <c r="B98" s="489">
        <f>'Dépenses BP 2017'!BJ105*C98</f>
        <v>5.6608211809371829</v>
      </c>
      <c r="C98" s="494">
        <f>$C$6/$AG$6</f>
        <v>0.11321642361874365</v>
      </c>
      <c r="D98" s="489">
        <f>'Dépenses BP 2017'!BJ105*E98</f>
        <v>10.419062309804463</v>
      </c>
      <c r="E98" s="494">
        <f>$E$6/$AG$6</f>
        <v>0.20838124619608928</v>
      </c>
      <c r="F98" s="489">
        <f>'Dépenses BP 2017'!BJ105*G98</f>
        <v>5.6209192908808072</v>
      </c>
      <c r="G98" s="494">
        <f>$G$6/$AG$6</f>
        <v>0.11241838581761615</v>
      </c>
      <c r="H98" s="495"/>
      <c r="I98" s="495"/>
      <c r="J98" s="489">
        <f>'Dépenses BP 2017'!BJ105*K98</f>
        <v>1.5495178642447007</v>
      </c>
      <c r="K98" s="494">
        <f>$K$6/$AG$6</f>
        <v>3.0990357284894014E-2</v>
      </c>
      <c r="L98" s="489">
        <f>'Dépenses BP 2017'!BJ105*M98</f>
        <v>1.2291634636520845</v>
      </c>
      <c r="M98" s="494">
        <f>$M$6/$AG$6</f>
        <v>2.4583269273041691E-2</v>
      </c>
      <c r="N98" s="506">
        <f>'Dépenses BP 2017'!BJ105*O98</f>
        <v>2.94489670572962</v>
      </c>
      <c r="O98" s="507">
        <f>$O$6/$AG$6</f>
        <v>5.8897934114592404E-2</v>
      </c>
      <c r="P98" s="508">
        <f>'Dépenses BP 2017'!BJ105*Q98</f>
        <v>0.70519263194408266</v>
      </c>
      <c r="Q98" s="510">
        <f>$Q$6/$AG$6</f>
        <v>1.4103852638881654E-2</v>
      </c>
      <c r="R98" s="513">
        <f>'Dépenses BP 2017'!BJ105*S98</f>
        <v>0</v>
      </c>
      <c r="S98" s="514">
        <f>$S$6/$AG$6</f>
        <v>0</v>
      </c>
      <c r="T98" s="501">
        <f>'Dépenses BP 2017'!AQ105</f>
        <v>37.654007736581121</v>
      </c>
      <c r="U98" s="503" t="e">
        <f>'Dépenses BP 2017'!#REF!</f>
        <v>#REF!</v>
      </c>
      <c r="V98" s="502"/>
      <c r="W98" s="54"/>
      <c r="X98" s="520">
        <f>'Dépenses BP 2017'!BJ105*Y98</f>
        <v>0.66458110921718527</v>
      </c>
      <c r="Y98" s="521">
        <f>$Y$6/$AG$6</f>
        <v>1.3291622184343706E-2</v>
      </c>
      <c r="Z98" s="520">
        <f>'Dépenses BP 2017'!BJ105*AA98</f>
        <v>0.31745464957008668</v>
      </c>
      <c r="AA98" s="521">
        <f>$AA$6/$AG$6</f>
        <v>6.349092991401733E-3</v>
      </c>
      <c r="AB98" s="518">
        <f>'Dépenses BP 2017'!BJ105*AC98</f>
        <v>0.3462432291977704</v>
      </c>
      <c r="AC98" s="593">
        <f>$AC$6/$AG$6</f>
        <v>6.9248645839554077E-3</v>
      </c>
      <c r="AD98" s="597"/>
      <c r="AE98" s="597"/>
      <c r="AF98" s="54"/>
      <c r="AO98" s="205"/>
      <c r="AQ98" s="61">
        <f>'Dépenses BP 2017'!BJ105*AR98</f>
        <v>1.1333142386016093</v>
      </c>
      <c r="AR98" s="94">
        <f>$AR$6/$AG$6</f>
        <v>2.2666284772032187E-2</v>
      </c>
      <c r="AS98" s="61">
        <f>'Dépenses BP 2017'!BJ105*AT98</f>
        <v>0.16271546334967771</v>
      </c>
      <c r="AT98" s="94">
        <f>$AT$6/$AG$6</f>
        <v>3.2543092669935539E-3</v>
      </c>
      <c r="AU98" s="61">
        <f>'Dépenses BP 2017'!B105</f>
        <v>0.80366547694528334</v>
      </c>
      <c r="AV98" s="94">
        <f>'Dépenses BP 2017'!C105</f>
        <v>1.6073309538905668E-2</v>
      </c>
      <c r="AW98" s="61">
        <f>'Dépenses BP 2017'!E105</f>
        <v>0</v>
      </c>
      <c r="AX98" s="94">
        <f>'Dépenses BP 2017'!F105</f>
        <v>0</v>
      </c>
      <c r="AY98" s="61">
        <f>'Dépenses BP 2017'!G105</f>
        <v>0.80366547694528334</v>
      </c>
      <c r="AZ98" s="94">
        <f>'Dépenses BP 2017'!H105</f>
        <v>1.6073309538905668E-2</v>
      </c>
      <c r="BA98" s="61"/>
      <c r="BB98" s="58">
        <f t="shared" si="3"/>
        <v>0.49236422500600363</v>
      </c>
      <c r="BC98" s="211"/>
      <c r="BD98" s="78">
        <f>'Dépenses BP 2017'!Q105</f>
        <v>2.0768221605831627</v>
      </c>
      <c r="BE98" s="89">
        <f>'Dépenses BP 2017'!R105</f>
        <v>4.1536443211663256E-2</v>
      </c>
      <c r="BF98" s="78"/>
      <c r="BG98" s="211"/>
      <c r="BH98" s="82">
        <f>'Dépenses BP 2017'!T105</f>
        <v>10.513485758465016</v>
      </c>
      <c r="BI98" s="87">
        <f>'Dépenses BP 2017'!U105</f>
        <v>0.21026971516930029</v>
      </c>
      <c r="BJ98" s="82"/>
    </row>
    <row r="99" spans="1:62">
      <c r="A99" s="1584" t="str">
        <f>'Dépenses BP 2017'!A106</f>
        <v>MEF Outils Communication</v>
      </c>
      <c r="B99" s="489">
        <f>'Dépenses BP 2017'!BJ106*C99</f>
        <v>181.14627778998985</v>
      </c>
      <c r="C99" s="494">
        <f>$C$6/$AG$6</f>
        <v>0.11321642361874365</v>
      </c>
      <c r="D99" s="489">
        <f>'Dépenses BP 2017'!BJ106*E99</f>
        <v>333.40999391374282</v>
      </c>
      <c r="E99" s="494">
        <f>$E$6/$AG$6</f>
        <v>0.20838124619608928</v>
      </c>
      <c r="F99" s="489">
        <f>'Dépenses BP 2017'!BJ106*G99</f>
        <v>179.86941730818583</v>
      </c>
      <c r="G99" s="494">
        <f>$G$6/$AG$6</f>
        <v>0.11241838581761615</v>
      </c>
      <c r="H99" s="495"/>
      <c r="I99" s="495"/>
      <c r="J99" s="489">
        <f>'Dépenses BP 2017'!BJ106*K99</f>
        <v>49.584571655830423</v>
      </c>
      <c r="K99" s="494">
        <f>$K$6/$AG$6</f>
        <v>3.0990357284894014E-2</v>
      </c>
      <c r="L99" s="489">
        <f>'Dépenses BP 2017'!BJ106*M99</f>
        <v>39.333230836866704</v>
      </c>
      <c r="M99" s="494">
        <f>$M$6/$AG$6</f>
        <v>2.4583269273041691E-2</v>
      </c>
      <c r="N99" s="506">
        <f>'Dépenses BP 2017'!BJ106*O99</f>
        <v>94.236694583347841</v>
      </c>
      <c r="O99" s="507">
        <f>$O$6/$AG$6</f>
        <v>5.8897934114592404E-2</v>
      </c>
      <c r="P99" s="508">
        <f>'Dépenses BP 2017'!BJ106*Q99</f>
        <v>22.566164222210645</v>
      </c>
      <c r="Q99" s="510">
        <f>$Q$6/$AG$6</f>
        <v>1.4103852638881654E-2</v>
      </c>
      <c r="R99" s="513">
        <f>'Dépenses BP 2017'!BJ106*S99</f>
        <v>0</v>
      </c>
      <c r="S99" s="514">
        <f>$S$6/$AG$6</f>
        <v>0</v>
      </c>
      <c r="T99" s="501">
        <f>'Dépenses BP 2017'!AQ106</f>
        <v>1204.9282475705959</v>
      </c>
      <c r="U99" s="503" t="e">
        <f>'Dépenses BP 2017'!#REF!</f>
        <v>#REF!</v>
      </c>
      <c r="V99" s="502"/>
      <c r="W99" s="54"/>
      <c r="X99" s="520">
        <f>'Dépenses BP 2017'!BJ106*Y99</f>
        <v>21.266595494949929</v>
      </c>
      <c r="Y99" s="521">
        <f>$Y$6/$AG$6</f>
        <v>1.3291622184343706E-2</v>
      </c>
      <c r="Z99" s="520">
        <f>'Dépenses BP 2017'!BJ106*AA99</f>
        <v>10.158548786242774</v>
      </c>
      <c r="AA99" s="521">
        <f>$AA$6/$AG$6</f>
        <v>6.349092991401733E-3</v>
      </c>
      <c r="AB99" s="518">
        <f>'Dépenses BP 2017'!BJ106*AC99</f>
        <v>11.079783334328653</v>
      </c>
      <c r="AC99" s="593">
        <f>$AC$6/$AG$6</f>
        <v>6.9248645839554077E-3</v>
      </c>
      <c r="AD99" s="597"/>
      <c r="AE99" s="597"/>
      <c r="AF99" s="54"/>
      <c r="AO99" s="205"/>
      <c r="AQ99" s="61">
        <f>'Dépenses BP 2017'!BJ106*AR99</f>
        <v>36.266055635251497</v>
      </c>
      <c r="AR99" s="94">
        <f>$AR$6/$AG$6</f>
        <v>2.2666284772032187E-2</v>
      </c>
      <c r="AS99" s="61">
        <f>'Dépenses BP 2017'!BJ106*AT99</f>
        <v>5.2068948271896867</v>
      </c>
      <c r="AT99" s="94">
        <f>$AT$6/$AG$6</f>
        <v>3.2543092669935539E-3</v>
      </c>
      <c r="AU99" s="61">
        <f>'Dépenses BP 2017'!B106</f>
        <v>25.717295262249067</v>
      </c>
      <c r="AV99" s="94">
        <f>'Dépenses BP 2017'!C106</f>
        <v>1.6073309538905668E-2</v>
      </c>
      <c r="AW99" s="61">
        <f>'Dépenses BP 2017'!E106</f>
        <v>0</v>
      </c>
      <c r="AX99" s="94">
        <f>'Dépenses BP 2017'!F106</f>
        <v>0</v>
      </c>
      <c r="AY99" s="61">
        <f>'Dépenses BP 2017'!G106</f>
        <v>25.717295262249067</v>
      </c>
      <c r="AZ99" s="94">
        <f>'Dépenses BP 2017'!H106</f>
        <v>1.6073309538905668E-2</v>
      </c>
      <c r="BA99" s="61"/>
      <c r="BB99" s="58">
        <f t="shared" si="3"/>
        <v>15.755655200192116</v>
      </c>
      <c r="BC99" s="211"/>
      <c r="BD99" s="78">
        <f>'Dépenses BP 2017'!Q106</f>
        <v>66.458309138661207</v>
      </c>
      <c r="BE99" s="89">
        <f>'Dépenses BP 2017'!R106</f>
        <v>4.1536443211663256E-2</v>
      </c>
      <c r="BF99" s="78"/>
      <c r="BG99" s="211"/>
      <c r="BH99" s="82">
        <f>'Dépenses BP 2017'!T106</f>
        <v>336.43154427088052</v>
      </c>
      <c r="BI99" s="87">
        <f>'Dépenses BP 2017'!U106</f>
        <v>0.21026971516930029</v>
      </c>
      <c r="BJ99" s="82"/>
    </row>
    <row r="100" spans="1:62">
      <c r="A100" s="1584" t="str">
        <f>'Dépenses BP 2017'!A107</f>
        <v>MDE Outils Communication</v>
      </c>
      <c r="B100" s="489"/>
      <c r="C100" s="494"/>
      <c r="D100" s="489"/>
      <c r="E100" s="494"/>
      <c r="F100" s="489"/>
      <c r="G100" s="494"/>
      <c r="H100" s="495"/>
      <c r="I100" s="495"/>
      <c r="J100" s="489"/>
      <c r="K100" s="494"/>
      <c r="L100" s="489"/>
      <c r="M100" s="494"/>
      <c r="N100" s="506"/>
      <c r="O100" s="507"/>
      <c r="P100" s="508"/>
      <c r="Q100" s="510"/>
      <c r="R100" s="513"/>
      <c r="S100" s="515"/>
      <c r="T100" s="501"/>
      <c r="U100" s="503"/>
      <c r="V100" s="502"/>
      <c r="W100" s="54"/>
      <c r="X100" s="520"/>
      <c r="Y100" s="521"/>
      <c r="Z100" s="520"/>
      <c r="AA100" s="521"/>
      <c r="AB100" s="518"/>
      <c r="AC100" s="593"/>
      <c r="AD100" s="597"/>
      <c r="AE100" s="597"/>
      <c r="AF100" s="54"/>
      <c r="AO100" s="205"/>
      <c r="AQ100" s="61">
        <f>'Dépenses BP 2017'!BJ107*AR100</f>
        <v>161.69436064852883</v>
      </c>
      <c r="AR100" s="94">
        <f>$AR$6/$BJ$6</f>
        <v>0.10779624043235254</v>
      </c>
      <c r="AS100" s="61">
        <f>'Dépenses BP 2017'!BJ107*AT100</f>
        <v>23.215249502573311</v>
      </c>
      <c r="AT100" s="94">
        <f>$AT$6/$BJ$6</f>
        <v>1.5476833001715542E-2</v>
      </c>
      <c r="AU100" s="61">
        <f>'Dépenses BP 2017'!B107</f>
        <v>114.66208668683539</v>
      </c>
      <c r="AV100" s="94">
        <f>'Dépenses BP 2017'!C107</f>
        <v>7.6441391124556932E-2</v>
      </c>
      <c r="AW100" s="61">
        <f>'Dépenses BP 2017'!E107</f>
        <v>0</v>
      </c>
      <c r="AX100" s="94">
        <f>'Dépenses BP 2017'!F107</f>
        <v>0</v>
      </c>
      <c r="AY100" s="61">
        <f>'Dépenses BP 2017'!G107</f>
        <v>114.66208668683539</v>
      </c>
      <c r="AZ100" s="94">
        <f>'Dépenses BP 2017'!H107</f>
        <v>7.6441391124556932E-2</v>
      </c>
      <c r="BA100" s="61"/>
      <c r="BB100" s="58">
        <f t="shared" si="3"/>
        <v>70.247523464266735</v>
      </c>
      <c r="BC100" s="211"/>
      <c r="BD100" s="78">
        <f>'Dépenses BP 2017'!Q107</f>
        <v>296.30831414466792</v>
      </c>
      <c r="BE100" s="89">
        <f>'Dépenses BP 2017'!R107</f>
        <v>0.19753887609644527</v>
      </c>
      <c r="BF100" s="78"/>
      <c r="BG100" s="211"/>
      <c r="BH100" s="82">
        <f>'Dépenses BP 2017'!T107</f>
        <v>1500</v>
      </c>
      <c r="BI100" s="87">
        <f>'Dépenses BP 2017'!U107</f>
        <v>0.99999999999999989</v>
      </c>
      <c r="BJ100" s="82"/>
    </row>
    <row r="101" spans="1:62">
      <c r="A101" s="1584" t="e">
        <f>'Dépenses BP 2017'!#REF!</f>
        <v>#REF!</v>
      </c>
      <c r="B101" s="489"/>
      <c r="C101" s="494"/>
      <c r="D101" s="489"/>
      <c r="E101" s="494"/>
      <c r="F101" s="489"/>
      <c r="G101" s="494"/>
      <c r="H101" s="495"/>
      <c r="I101" s="495"/>
      <c r="J101" s="489"/>
      <c r="K101" s="494"/>
      <c r="L101" s="489"/>
      <c r="M101" s="494"/>
      <c r="N101" s="506"/>
      <c r="O101" s="507"/>
      <c r="P101" s="508"/>
      <c r="Q101" s="510"/>
      <c r="R101" s="515"/>
      <c r="S101" s="515"/>
      <c r="T101" s="501"/>
      <c r="U101" s="503"/>
      <c r="V101" s="502"/>
      <c r="W101" s="54"/>
      <c r="X101" s="520"/>
      <c r="Y101" s="521"/>
      <c r="Z101" s="520"/>
      <c r="AA101" s="521"/>
      <c r="AB101" s="518"/>
      <c r="AC101" s="593"/>
      <c r="AD101" s="597"/>
      <c r="AE101" s="597"/>
      <c r="AF101" s="54"/>
      <c r="AO101" s="205"/>
      <c r="AQ101" s="61"/>
      <c r="AR101" s="94"/>
      <c r="AS101" s="61"/>
      <c r="AT101" s="94"/>
      <c r="AU101" s="61"/>
      <c r="AV101" s="94"/>
      <c r="AW101" s="61"/>
      <c r="AX101" s="94"/>
      <c r="AY101" s="61"/>
      <c r="AZ101" s="94"/>
      <c r="BA101" s="61"/>
      <c r="BB101" s="58">
        <f t="shared" si="3"/>
        <v>0</v>
      </c>
      <c r="BC101" s="211"/>
      <c r="BD101" s="78"/>
      <c r="BE101" s="89"/>
      <c r="BF101" s="78"/>
      <c r="BG101" s="211"/>
      <c r="BH101" s="82"/>
      <c r="BI101" s="87"/>
      <c r="BJ101" s="82"/>
    </row>
    <row r="102" spans="1:62">
      <c r="A102" s="1584" t="str">
        <f>'Dépenses BP 2017'!A108</f>
        <v>ML Outils Communication</v>
      </c>
      <c r="B102" s="489">
        <f>'Dépenses BP 2017'!BJ108*C102</f>
        <v>150.3378131894751</v>
      </c>
      <c r="C102" s="494">
        <f>$C$6/$V$6</f>
        <v>0.15033781318947509</v>
      </c>
      <c r="D102" s="489">
        <f>'Dépenses BP 2017'!BJ108*E102</f>
        <v>276.70526820661041</v>
      </c>
      <c r="E102" s="494">
        <f>$E$6/$V$6</f>
        <v>0.2767052682066104</v>
      </c>
      <c r="F102" s="489">
        <f>'Dépenses BP 2017'!BJ108*G102</f>
        <v>149.27811483450793</v>
      </c>
      <c r="G102" s="494">
        <f>$G$6/$V$6</f>
        <v>0.14927811483450792</v>
      </c>
      <c r="H102" s="495"/>
      <c r="I102" s="495"/>
      <c r="J102" s="489">
        <f>'Dépenses BP 2017'!BJ108*K102</f>
        <v>41.151472509507492</v>
      </c>
      <c r="K102" s="494">
        <f>$K$6/$V$6</f>
        <v>4.1151472509507493E-2</v>
      </c>
      <c r="L102" s="489">
        <f>'Dépenses BP 2017'!BJ108*M102</f>
        <v>32.643629125776798</v>
      </c>
      <c r="M102" s="494">
        <f>$M$6/$V$6</f>
        <v>3.2643629125776799E-2</v>
      </c>
      <c r="N102" s="506">
        <f>'Dépenses BP 2017'!BJ108*O102</f>
        <v>78.209382818728017</v>
      </c>
      <c r="O102" s="507">
        <f>$O$6/$V$6</f>
        <v>7.8209382818728024E-2</v>
      </c>
      <c r="P102" s="508">
        <f>'Dépenses BP 2017'!BJ108*Q102</f>
        <v>18.728222421301073</v>
      </c>
      <c r="Q102" s="510">
        <f>$Q$6/$V$6</f>
        <v>1.8728222421301073E-2</v>
      </c>
      <c r="R102" s="515">
        <f>'Dépenses BP 2017'!BJ108*S102</f>
        <v>0</v>
      </c>
      <c r="S102" s="515">
        <f>$S$6/$V$6</f>
        <v>0</v>
      </c>
      <c r="T102" s="501">
        <f>'Dépenses BP 2017'!AQ108</f>
        <v>1000</v>
      </c>
      <c r="U102" s="503" t="e">
        <f>'Dépenses BP 2017'!#REF!</f>
        <v>#REF!</v>
      </c>
      <c r="V102" s="502"/>
      <c r="W102" s="54"/>
      <c r="X102" s="520">
        <f>'Dépenses BP 2017'!BJ108*Y102</f>
        <v>17.649677927153032</v>
      </c>
      <c r="Y102" s="521">
        <f>$Y$6/$V$6</f>
        <v>1.764967792715303E-2</v>
      </c>
      <c r="Z102" s="520">
        <f>'Dépenses BP 2017'!BJ108*AA102</f>
        <v>8.4308329618171634</v>
      </c>
      <c r="AA102" s="521">
        <f>$AA$6/$V$6</f>
        <v>8.4308329618171633E-3</v>
      </c>
      <c r="AB102" s="518">
        <f>'Dépenses BP 2017'!BJ108*AC102</f>
        <v>9.1953884861343127</v>
      </c>
      <c r="AC102" s="593">
        <f>$AC$6/$V$6</f>
        <v>9.1953884861343121E-3</v>
      </c>
      <c r="AD102" s="597"/>
      <c r="AE102" s="597"/>
      <c r="AF102" s="54"/>
      <c r="AO102" s="205"/>
      <c r="AQ102" s="61"/>
      <c r="AR102" s="94"/>
      <c r="AS102" s="61"/>
      <c r="AT102" s="94"/>
      <c r="AU102" s="61"/>
      <c r="AV102" s="94"/>
      <c r="AW102" s="61"/>
      <c r="AX102" s="94"/>
      <c r="AY102" s="61"/>
      <c r="AZ102" s="94"/>
      <c r="BA102" s="61"/>
      <c r="BB102" s="58">
        <f t="shared" si="3"/>
        <v>0</v>
      </c>
      <c r="BC102" s="211"/>
      <c r="BD102" s="78"/>
      <c r="BE102" s="89"/>
      <c r="BF102" s="78"/>
      <c r="BG102" s="211"/>
      <c r="BH102" s="82"/>
      <c r="BI102" s="87"/>
      <c r="BJ102" s="82"/>
    </row>
    <row r="103" spans="1:62">
      <c r="A103" s="1584" t="str">
        <f>'Dépenses BP 2017'!A109</f>
        <v>Cadeaux partenaires</v>
      </c>
      <c r="B103" s="489">
        <f>'Dépenses BP 2017'!BJ109*C103</f>
        <v>11.321642361874366</v>
      </c>
      <c r="C103" s="494">
        <f>$C$6/$AG$6</f>
        <v>0.11321642361874365</v>
      </c>
      <c r="D103" s="489">
        <f>'Dépenses BP 2017'!BJ109*E103</f>
        <v>20.838124619608926</v>
      </c>
      <c r="E103" s="494">
        <f>$E$6/$AG$6</f>
        <v>0.20838124619608928</v>
      </c>
      <c r="F103" s="489">
        <f>'Dépenses BP 2017'!BJ109*G103</f>
        <v>11.241838581761614</v>
      </c>
      <c r="G103" s="494">
        <f>$G$6/$AG$6</f>
        <v>0.11241838581761615</v>
      </c>
      <c r="H103" s="495"/>
      <c r="I103" s="495"/>
      <c r="J103" s="489">
        <f>'Dépenses BP 2017'!BJ109*K103</f>
        <v>3.0990357284894015</v>
      </c>
      <c r="K103" s="494">
        <f>$K$6/$AG$6</f>
        <v>3.0990357284894014E-2</v>
      </c>
      <c r="L103" s="489">
        <f>'Dépenses BP 2017'!BJ109*M103</f>
        <v>2.458326927304169</v>
      </c>
      <c r="M103" s="494">
        <f>$M$6/$AG$6</f>
        <v>2.4583269273041691E-2</v>
      </c>
      <c r="N103" s="506">
        <f>'Dépenses BP 2017'!BJ109*O103</f>
        <v>5.8897934114592401</v>
      </c>
      <c r="O103" s="507">
        <f>$O$6/$AG$6</f>
        <v>5.8897934114592404E-2</v>
      </c>
      <c r="P103" s="508">
        <f>'Dépenses BP 2017'!BJ109*Q103</f>
        <v>1.4103852638881653</v>
      </c>
      <c r="Q103" s="510">
        <f>$Q$6/$AG$6</f>
        <v>1.4103852638881654E-2</v>
      </c>
      <c r="R103" s="513">
        <f>'Dépenses BP 2017'!BJ109*S103</f>
        <v>0</v>
      </c>
      <c r="S103" s="514">
        <f>$S$6/$AG$6</f>
        <v>0</v>
      </c>
      <c r="T103" s="501">
        <f>'Dépenses BP 2017'!AQ109</f>
        <v>75.308015473162243</v>
      </c>
      <c r="U103" s="503" t="e">
        <f>'Dépenses BP 2017'!#REF!</f>
        <v>#REF!</v>
      </c>
      <c r="V103" s="502"/>
      <c r="W103" s="54"/>
      <c r="X103" s="520">
        <f>'Dépenses BP 2017'!BJ109*Y103</f>
        <v>1.3291622184343705</v>
      </c>
      <c r="Y103" s="521">
        <f>$Y$6/$AG$6</f>
        <v>1.3291622184343706E-2</v>
      </c>
      <c r="Z103" s="520">
        <f>'Dépenses BP 2017'!BJ109*AA103</f>
        <v>0.63490929914017336</v>
      </c>
      <c r="AA103" s="521">
        <f>$AA$6/$AG$6</f>
        <v>6.349092991401733E-3</v>
      </c>
      <c r="AB103" s="518">
        <f>'Dépenses BP 2017'!BJ109*AC103</f>
        <v>0.69248645839554079</v>
      </c>
      <c r="AC103" s="593">
        <f>$AC$6/$AG$6</f>
        <v>6.9248645839554077E-3</v>
      </c>
      <c r="AD103" s="597"/>
      <c r="AE103" s="597"/>
      <c r="AF103" s="54"/>
      <c r="AO103" s="205"/>
      <c r="AQ103" s="61">
        <f>'Dépenses BP 2017'!BJ109*AR103</f>
        <v>2.2666284772032186</v>
      </c>
      <c r="AR103" s="94">
        <f>$AR$6/$AG$6</f>
        <v>2.2666284772032187E-2</v>
      </c>
      <c r="AS103" s="61">
        <f>'Dépenses BP 2017'!BJ109*AT103</f>
        <v>0.32543092669935542</v>
      </c>
      <c r="AT103" s="94">
        <f>$AT$6/$AG$6</f>
        <v>3.2543092669935539E-3</v>
      </c>
      <c r="AU103" s="61">
        <f>'Dépenses BP 2017'!B109</f>
        <v>1.6073309538905667</v>
      </c>
      <c r="AV103" s="94">
        <f>'Dépenses BP 2017'!C109</f>
        <v>1.6073309538905668E-2</v>
      </c>
      <c r="AW103" s="61">
        <f>'Dépenses BP 2017'!E109</f>
        <v>0</v>
      </c>
      <c r="AX103" s="94">
        <f>'Dépenses BP 2017'!F109</f>
        <v>0</v>
      </c>
      <c r="AY103" s="61">
        <f>'Dépenses BP 2017'!G109</f>
        <v>1.6073309538905667</v>
      </c>
      <c r="AZ103" s="94">
        <f>'Dépenses BP 2017'!H109</f>
        <v>1.6073309538905668E-2</v>
      </c>
      <c r="BA103" s="61"/>
      <c r="BB103" s="58">
        <f t="shared" si="3"/>
        <v>0.98472845001200726</v>
      </c>
      <c r="BC103" s="211"/>
      <c r="BD103" s="78">
        <f>'Dépenses BP 2017'!Q109</f>
        <v>4.1536443211663254</v>
      </c>
      <c r="BE103" s="89">
        <f>'Dépenses BP 2017'!R109</f>
        <v>4.1536443211663256E-2</v>
      </c>
      <c r="BF103" s="78"/>
      <c r="BG103" s="211"/>
      <c r="BH103" s="82">
        <f>'Dépenses BP 2017'!T109</f>
        <v>21.026971516930033</v>
      </c>
      <c r="BI103" s="87">
        <f>'Dépenses BP 2017'!U109</f>
        <v>0.21026971516930029</v>
      </c>
      <c r="BJ103" s="82"/>
    </row>
    <row r="104" spans="1:62">
      <c r="A104" s="1584" t="str">
        <f>'Dépenses BP 2017'!A110</f>
        <v>Remb de frais sur justificatif</v>
      </c>
      <c r="B104" s="489">
        <f>'Dépenses BP 2017'!BJ110*C104</f>
        <v>1018.9478125686928</v>
      </c>
      <c r="C104" s="494">
        <f>$C$6/$AG$6</f>
        <v>0.11321642361874365</v>
      </c>
      <c r="D104" s="489">
        <f>'Dépenses BP 2017'!BJ110*E104</f>
        <v>1875.4312157648035</v>
      </c>
      <c r="E104" s="494">
        <f>$E$6/$AG$6</f>
        <v>0.20838124619608928</v>
      </c>
      <c r="F104" s="489">
        <f>'Dépenses BP 2017'!BJ110*G104</f>
        <v>1011.7654723585454</v>
      </c>
      <c r="G104" s="494">
        <f>$G$6/$AG$6</f>
        <v>0.11241838581761615</v>
      </c>
      <c r="H104" s="495"/>
      <c r="I104" s="495"/>
      <c r="J104" s="489">
        <f>'Dépenses BP 2017'!BJ110*K104</f>
        <v>278.91321556404614</v>
      </c>
      <c r="K104" s="494">
        <f>$K$6/$AG$6</f>
        <v>3.0990357284894014E-2</v>
      </c>
      <c r="L104" s="489">
        <f>'Dépenses BP 2017'!BJ110*M104</f>
        <v>221.24942345737523</v>
      </c>
      <c r="M104" s="494">
        <f>$M$6/$AG$6</f>
        <v>2.4583269273041691E-2</v>
      </c>
      <c r="N104" s="506">
        <f>'Dépenses BP 2017'!BJ110*O104</f>
        <v>530.08140703133165</v>
      </c>
      <c r="O104" s="507">
        <f>$O$6/$AG$6</f>
        <v>5.8897934114592404E-2</v>
      </c>
      <c r="P104" s="508">
        <f>'Dépenses BP 2017'!BJ110*Q104</f>
        <v>126.93467374993489</v>
      </c>
      <c r="Q104" s="510">
        <f>$Q$6/$AG$6</f>
        <v>1.4103852638881654E-2</v>
      </c>
      <c r="R104" s="513">
        <f>'Dépenses BP 2017'!BJ110*S104</f>
        <v>0</v>
      </c>
      <c r="S104" s="514">
        <f>$S$6/$AG$6</f>
        <v>0</v>
      </c>
      <c r="T104" s="501">
        <f>'Dépenses BP 2017'!AQ110</f>
        <v>6777.7213925846027</v>
      </c>
      <c r="U104" s="503" t="e">
        <f>'Dépenses BP 2017'!#REF!</f>
        <v>#REF!</v>
      </c>
      <c r="V104" s="502"/>
      <c r="W104" s="54"/>
      <c r="X104" s="520">
        <f>'Dépenses BP 2017'!BJ110*Y104</f>
        <v>119.62459965909336</v>
      </c>
      <c r="Y104" s="521">
        <f>$Y$6/$AG$6</f>
        <v>1.3291622184343706E-2</v>
      </c>
      <c r="Z104" s="520">
        <f>'Dépenses BP 2017'!BJ110*AA104</f>
        <v>57.141836922615596</v>
      </c>
      <c r="AA104" s="521">
        <f>$AA$6/$AG$6</f>
        <v>6.349092991401733E-3</v>
      </c>
      <c r="AB104" s="518">
        <f>'Dépenses BP 2017'!BJ110*AC104</f>
        <v>62.323781255598668</v>
      </c>
      <c r="AC104" s="593">
        <f>$AC$6/$AG$6</f>
        <v>6.9248645839554077E-3</v>
      </c>
      <c r="AD104" s="597"/>
      <c r="AE104" s="597"/>
      <c r="AF104" s="54"/>
      <c r="AO104" s="205"/>
      <c r="AQ104" s="61">
        <f>'Dépenses BP 2017'!BJ110*AR104</f>
        <v>203.99656294828969</v>
      </c>
      <c r="AR104" s="94">
        <f>$AR$6/$AG$6</f>
        <v>2.2666284772032187E-2</v>
      </c>
      <c r="AS104" s="61">
        <f>'Dépenses BP 2017'!BJ110*AT104</f>
        <v>29.288783402941984</v>
      </c>
      <c r="AT104" s="94">
        <f>$AT$6/$AG$6</f>
        <v>3.2543092669935539E-3</v>
      </c>
      <c r="AU104" s="61">
        <f>'Dépenses BP 2017'!B110</f>
        <v>144.659785850151</v>
      </c>
      <c r="AV104" s="94">
        <f>'Dépenses BP 2017'!C110</f>
        <v>1.6073309538905668E-2</v>
      </c>
      <c r="AW104" s="61">
        <f>'Dépenses BP 2017'!E110</f>
        <v>0</v>
      </c>
      <c r="AX104" s="94">
        <f>'Dépenses BP 2017'!F110</f>
        <v>0</v>
      </c>
      <c r="AY104" s="61">
        <f>'Dépenses BP 2017'!G110</f>
        <v>144.659785850151</v>
      </c>
      <c r="AZ104" s="94">
        <f>'Dépenses BP 2017'!H110</f>
        <v>1.6073309538905668E-2</v>
      </c>
      <c r="BA104" s="61"/>
      <c r="BB104" s="58">
        <f t="shared" si="3"/>
        <v>88.625560501080685</v>
      </c>
      <c r="BC104" s="211"/>
      <c r="BD104" s="78">
        <f>'Dépenses BP 2017'!Q110</f>
        <v>373.82798890496929</v>
      </c>
      <c r="BE104" s="89">
        <f>'Dépenses BP 2017'!R110</f>
        <v>4.1536443211663256E-2</v>
      </c>
      <c r="BF104" s="78"/>
      <c r="BG104" s="211"/>
      <c r="BH104" s="82">
        <f>'Dépenses BP 2017'!T110</f>
        <v>1892.4274365237027</v>
      </c>
      <c r="BI104" s="87">
        <f>'Dépenses BP 2017'!U110</f>
        <v>0.21026971516930029</v>
      </c>
      <c r="BJ104" s="82"/>
    </row>
    <row r="105" spans="1:62">
      <c r="A105" s="1584" t="str">
        <f>'Dépenses BP 2017'!A111</f>
        <v>Déplacements divers (actions)</v>
      </c>
      <c r="B105" s="489">
        <f>('Dépenses BP 2017'!BJ111-300)*C105</f>
        <v>277.49708232139818</v>
      </c>
      <c r="C105" s="494">
        <f>C6/($C$6+$E$6+$G$6+$K$6+$M$6)</f>
        <v>0.23124756860116516</v>
      </c>
      <c r="D105" s="489">
        <f>('Dépenses BP 2017'!BJ111-300)*E105</f>
        <v>510.74911202493081</v>
      </c>
      <c r="E105" s="494">
        <f>E6/($C$6+$E$6+$G$6+$K$6+$M$6)</f>
        <v>0.42562426002077569</v>
      </c>
      <c r="F105" s="489">
        <f>('Dépenses BP 2017'!BJ111-300)*G105</f>
        <v>275.54106609763181</v>
      </c>
      <c r="G105" s="494">
        <f>G6/($C$6+$E$6+$G$6+$K$6+$M$6)</f>
        <v>0.22961755508135984</v>
      </c>
      <c r="H105" s="495"/>
      <c r="I105" s="495"/>
      <c r="J105" s="489">
        <f>('Dépenses BP 2017'!BJ111-300)*K105</f>
        <v>75.95835879443942</v>
      </c>
      <c r="K105" s="494">
        <f>K6/($C$6+$E$6+$G$6+$K$6+$M$6)</f>
        <v>6.329863232869952E-2</v>
      </c>
      <c r="L105" s="489">
        <f>('Dépenses BP 2017'!BJ111-300)*M105</f>
        <v>60.254380761599684</v>
      </c>
      <c r="M105" s="494">
        <f>M6/($C$6+$E$6+$G$6+$K$6+$M$6)</f>
        <v>5.0211983967999738E-2</v>
      </c>
      <c r="N105" s="506"/>
      <c r="O105" s="507"/>
      <c r="P105" s="508"/>
      <c r="Q105" s="510"/>
      <c r="R105" s="513">
        <f>'Dépenses BP 2017'!BJ111*S105</f>
        <v>0</v>
      </c>
      <c r="S105" s="514">
        <f>$S$6/$AG$6</f>
        <v>0</v>
      </c>
      <c r="T105" s="501">
        <f>'Dépenses BP 2017'!AQ111</f>
        <v>1200</v>
      </c>
      <c r="U105" s="503" t="e">
        <f>'Dépenses BP 2017'!#REF!</f>
        <v>#REF!</v>
      </c>
      <c r="V105" s="502"/>
      <c r="W105" s="54"/>
      <c r="X105" s="520">
        <f>'Dépenses BP 2017'!Y111*Y105</f>
        <v>21.179613512583636</v>
      </c>
      <c r="Y105" s="521">
        <f>$Y$6/$V$6</f>
        <v>1.764967792715303E-2</v>
      </c>
      <c r="Z105" s="520">
        <f>'Dépenses BP 2017'!Y111*AA105</f>
        <v>10.116999554180596</v>
      </c>
      <c r="AA105" s="521">
        <f>$AA$6/$V$6</f>
        <v>8.4308329618171633E-3</v>
      </c>
      <c r="AB105" s="518">
        <f>'Dépenses BP 2017'!Y111*AC105</f>
        <v>11.034466183361175</v>
      </c>
      <c r="AC105" s="593">
        <f>$AC$6/$V$6</f>
        <v>9.1953884861343121E-3</v>
      </c>
      <c r="AD105" s="597"/>
      <c r="AE105" s="597"/>
      <c r="AF105" s="54"/>
      <c r="AO105" s="205"/>
      <c r="AQ105" s="61"/>
      <c r="AR105" s="94"/>
      <c r="AS105" s="61"/>
      <c r="AT105" s="94"/>
      <c r="AU105" s="61"/>
      <c r="AV105" s="94"/>
      <c r="AW105" s="61"/>
      <c r="AX105" s="94"/>
      <c r="AY105" s="61"/>
      <c r="AZ105" s="94"/>
      <c r="BA105" s="61"/>
      <c r="BB105" s="58">
        <f t="shared" si="3"/>
        <v>0</v>
      </c>
      <c r="BC105" s="211"/>
      <c r="BD105" s="78"/>
      <c r="BE105" s="89"/>
      <c r="BF105" s="78"/>
      <c r="BG105" s="211"/>
      <c r="BH105" s="82">
        <f>'Dépenses BP 2017'!T111</f>
        <v>300</v>
      </c>
      <c r="BI105" s="87">
        <f>'Dépenses BP 2017'!U111</f>
        <v>1</v>
      </c>
      <c r="BJ105" s="82"/>
    </row>
    <row r="106" spans="1:62">
      <c r="A106" s="1584" t="str">
        <f>'Dépenses BP 2017'!A113</f>
        <v>MDE  Mission - Réception</v>
      </c>
      <c r="B106" s="489"/>
      <c r="C106" s="494"/>
      <c r="D106" s="489"/>
      <c r="E106" s="494"/>
      <c r="F106" s="489"/>
      <c r="G106" s="494"/>
      <c r="H106" s="495"/>
      <c r="I106" s="495"/>
      <c r="J106" s="489"/>
      <c r="K106" s="494"/>
      <c r="L106" s="489"/>
      <c r="M106" s="494"/>
      <c r="N106" s="506"/>
      <c r="O106" s="507"/>
      <c r="P106" s="508"/>
      <c r="Q106" s="510"/>
      <c r="R106" s="513"/>
      <c r="S106" s="515"/>
      <c r="T106" s="501"/>
      <c r="U106" s="503"/>
      <c r="V106" s="502"/>
      <c r="W106" s="54"/>
      <c r="X106" s="520"/>
      <c r="Y106" s="521"/>
      <c r="Z106" s="520"/>
      <c r="AA106" s="521"/>
      <c r="AB106" s="518"/>
      <c r="AC106" s="593"/>
      <c r="AD106" s="597"/>
      <c r="AE106" s="597"/>
      <c r="AF106" s="54"/>
      <c r="AO106" s="205"/>
      <c r="AQ106" s="61">
        <f>'Dépenses BP 2017'!BJ113*AR106</f>
        <v>161.69436064852883</v>
      </c>
      <c r="AR106" s="94">
        <f>$AR$6/$BJ$6</f>
        <v>0.10779624043235254</v>
      </c>
      <c r="AS106" s="61">
        <f>'Dépenses BP 2017'!BJ113*AT106</f>
        <v>23.215249502573311</v>
      </c>
      <c r="AT106" s="94">
        <f>$AT$6/$BJ$6</f>
        <v>1.5476833001715542E-2</v>
      </c>
      <c r="AU106" s="61">
        <f>'Dépenses BP 2017'!B113</f>
        <v>114.66208668683539</v>
      </c>
      <c r="AV106" s="94">
        <f>'Dépenses BP 2017'!C113</f>
        <v>7.6441391124556932E-2</v>
      </c>
      <c r="AW106" s="61">
        <f>'Dépenses BP 2017'!E113</f>
        <v>0</v>
      </c>
      <c r="AX106" s="94">
        <f>'Dépenses BP 2017'!F113</f>
        <v>0</v>
      </c>
      <c r="AY106" s="61">
        <f>'Dépenses BP 2017'!G113</f>
        <v>114.66208668683539</v>
      </c>
      <c r="AZ106" s="94">
        <f>'Dépenses BP 2017'!H113</f>
        <v>7.6441391124556932E-2</v>
      </c>
      <c r="BA106" s="61"/>
      <c r="BB106" s="58">
        <f t="shared" si="3"/>
        <v>70.247523464266735</v>
      </c>
      <c r="BC106" s="211"/>
      <c r="BD106" s="78">
        <f>'Dépenses BP 2017'!Q113</f>
        <v>296.30831414466792</v>
      </c>
      <c r="BE106" s="89">
        <f>'Dépenses BP 2017'!R113</f>
        <v>0.19753887609644527</v>
      </c>
      <c r="BF106" s="78"/>
      <c r="BG106" s="211"/>
      <c r="BH106" s="82">
        <f>'Dépenses BP 2017'!T113</f>
        <v>1500</v>
      </c>
      <c r="BI106" s="87">
        <f>'Dépenses BP 2017'!U113</f>
        <v>0.99999999999999989</v>
      </c>
      <c r="BJ106" s="82"/>
    </row>
    <row r="107" spans="1:62">
      <c r="A107" s="1584" t="str">
        <f>'Dépenses BP 2017'!A114</f>
        <v>ML Mission - Réception</v>
      </c>
      <c r="B107" s="489">
        <f>'Dépenses BP 2017'!BJ114*C107</f>
        <v>150.3378131894751</v>
      </c>
      <c r="C107" s="494">
        <f>$C$6/$V$6</f>
        <v>0.15033781318947509</v>
      </c>
      <c r="D107" s="489">
        <f>'Dépenses BP 2017'!BJ114*E107</f>
        <v>276.70526820661041</v>
      </c>
      <c r="E107" s="494">
        <f>$E$6/$V$6</f>
        <v>0.2767052682066104</v>
      </c>
      <c r="F107" s="489">
        <f>'Dépenses BP 2017'!BJ114*G107</f>
        <v>149.27811483450793</v>
      </c>
      <c r="G107" s="494">
        <f>$G$6/$V$6</f>
        <v>0.14927811483450792</v>
      </c>
      <c r="H107" s="495"/>
      <c r="I107" s="495"/>
      <c r="J107" s="489">
        <f>'Dépenses BP 2017'!BJ114*K107</f>
        <v>41.151472509507492</v>
      </c>
      <c r="K107" s="494">
        <f>$K$6/$V$6</f>
        <v>4.1151472509507493E-2</v>
      </c>
      <c r="L107" s="489">
        <f>'Dépenses BP 2017'!BJ114*M107</f>
        <v>32.643629125776798</v>
      </c>
      <c r="M107" s="494">
        <f>$M$6/$V$6</f>
        <v>3.2643629125776799E-2</v>
      </c>
      <c r="N107" s="506">
        <f>'Dépenses BP 2017'!BJ114*O107</f>
        <v>78.209382818728017</v>
      </c>
      <c r="O107" s="507">
        <f>$O$6/$V$6</f>
        <v>7.8209382818728024E-2</v>
      </c>
      <c r="P107" s="508">
        <f>'Dépenses BP 2017'!BJ114*Q107</f>
        <v>18.728222421301073</v>
      </c>
      <c r="Q107" s="510">
        <f>$Q$6/$V$6</f>
        <v>1.8728222421301073E-2</v>
      </c>
      <c r="R107" s="515">
        <f>'Dépenses BP 2017'!BJ114*S107</f>
        <v>0</v>
      </c>
      <c r="S107" s="515">
        <f>$S$6/$V$6</f>
        <v>0</v>
      </c>
      <c r="T107" s="501">
        <f>'Dépenses BP 2017'!AQ114</f>
        <v>1000</v>
      </c>
      <c r="U107" s="503" t="e">
        <f>'Dépenses BP 2017'!#REF!</f>
        <v>#REF!</v>
      </c>
      <c r="V107" s="502"/>
      <c r="W107" s="54"/>
      <c r="X107" s="520">
        <f>'Dépenses BP 2017'!BJ114*Y107</f>
        <v>17.649677927153032</v>
      </c>
      <c r="Y107" s="521">
        <f>$Y$6/$V$6</f>
        <v>1.764967792715303E-2</v>
      </c>
      <c r="Z107" s="520">
        <f>'Dépenses BP 2017'!BJ114*AA107</f>
        <v>8.4308329618171634</v>
      </c>
      <c r="AA107" s="521">
        <f>$AA$6/$V$6</f>
        <v>8.4308329618171633E-3</v>
      </c>
      <c r="AB107" s="518">
        <f>'Dépenses BP 2017'!BJ114*AC107</f>
        <v>9.1953884861343127</v>
      </c>
      <c r="AC107" s="593">
        <f>$AC$6/$V$6</f>
        <v>9.1953884861343121E-3</v>
      </c>
      <c r="AD107" s="597"/>
      <c r="AE107" s="597"/>
      <c r="AF107" s="54"/>
      <c r="AO107" s="205"/>
      <c r="AQ107" s="61"/>
      <c r="AR107" s="94"/>
      <c r="AS107" s="61"/>
      <c r="AT107" s="94"/>
      <c r="AU107" s="61"/>
      <c r="AV107" s="94"/>
      <c r="AW107" s="61"/>
      <c r="AX107" s="94"/>
      <c r="AY107" s="61"/>
      <c r="AZ107" s="94"/>
      <c r="BA107" s="61"/>
      <c r="BB107" s="58">
        <f t="shared" si="3"/>
        <v>0</v>
      </c>
      <c r="BC107" s="211"/>
      <c r="BD107" s="78"/>
      <c r="BE107" s="89"/>
      <c r="BF107" s="78"/>
      <c r="BG107" s="211"/>
      <c r="BH107" s="82"/>
      <c r="BI107" s="87"/>
      <c r="BJ107" s="82"/>
    </row>
    <row r="108" spans="1:62">
      <c r="A108" s="1584" t="str">
        <f>'Dépenses BP 2017'!A115</f>
        <v>CBE - Mission Réception</v>
      </c>
      <c r="B108" s="489"/>
      <c r="C108" s="494"/>
      <c r="D108" s="489"/>
      <c r="E108" s="494"/>
      <c r="F108" s="489"/>
      <c r="G108" s="494"/>
      <c r="H108" s="495"/>
      <c r="I108" s="495"/>
      <c r="J108" s="489"/>
      <c r="K108" s="494"/>
      <c r="L108" s="489"/>
      <c r="M108" s="494"/>
      <c r="N108" s="506"/>
      <c r="O108" s="507"/>
      <c r="P108" s="508"/>
      <c r="Q108" s="510"/>
      <c r="R108" s="515"/>
      <c r="S108" s="515"/>
      <c r="T108" s="501"/>
      <c r="U108" s="503"/>
      <c r="V108" s="502"/>
      <c r="W108" s="54"/>
      <c r="X108" s="520"/>
      <c r="Y108" s="521"/>
      <c r="Z108" s="520"/>
      <c r="AA108" s="521"/>
      <c r="AB108" s="518"/>
      <c r="AC108" s="593"/>
      <c r="AD108" s="597"/>
      <c r="AE108" s="597"/>
      <c r="AF108" s="54"/>
      <c r="AO108" s="205"/>
      <c r="AQ108" s="61"/>
      <c r="AR108" s="94"/>
      <c r="AS108" s="61"/>
      <c r="AT108" s="94"/>
      <c r="AU108" s="61"/>
      <c r="AV108" s="94"/>
      <c r="AW108" s="61"/>
      <c r="AX108" s="94"/>
      <c r="AY108" s="61"/>
      <c r="AZ108" s="94"/>
      <c r="BA108" s="61"/>
      <c r="BB108" s="58">
        <f t="shared" si="3"/>
        <v>0</v>
      </c>
      <c r="BC108" s="211"/>
      <c r="BD108" s="78"/>
      <c r="BE108" s="89"/>
      <c r="BF108" s="78"/>
      <c r="BG108" s="211"/>
      <c r="BH108" s="82"/>
      <c r="BI108" s="87"/>
      <c r="BJ108" s="82"/>
    </row>
    <row r="109" spans="1:62">
      <c r="A109" s="1584" t="str">
        <f>'Dépenses BP 2017'!A112</f>
        <v>MEF - Mission Réception</v>
      </c>
      <c r="B109" s="489">
        <f>'Dépenses BP 2017'!BJ112*C109</f>
        <v>135.85970834249238</v>
      </c>
      <c r="C109" s="494">
        <f>$C$6/$AG$6</f>
        <v>0.11321642361874365</v>
      </c>
      <c r="D109" s="489">
        <f>'Dépenses BP 2017'!BJ112*E109</f>
        <v>250.05749543530712</v>
      </c>
      <c r="E109" s="494">
        <f>$E$6/$AG$6</f>
        <v>0.20838124619608928</v>
      </c>
      <c r="F109" s="489">
        <f>'Dépenses BP 2017'!BJ112*G109</f>
        <v>134.90206298113938</v>
      </c>
      <c r="G109" s="494">
        <f>$G$6/$AG$6</f>
        <v>0.11241838581761615</v>
      </c>
      <c r="H109" s="495"/>
      <c r="I109" s="495"/>
      <c r="J109" s="489">
        <f>'Dépenses BP 2017'!BJ112*K109</f>
        <v>37.188428741872819</v>
      </c>
      <c r="K109" s="494">
        <f>$K$6/$AG$6</f>
        <v>3.0990357284894014E-2</v>
      </c>
      <c r="L109" s="489">
        <f>'Dépenses BP 2017'!BJ112*M109</f>
        <v>29.499923127650028</v>
      </c>
      <c r="M109" s="494">
        <f>$M$6/$AG$6</f>
        <v>2.4583269273041691E-2</v>
      </c>
      <c r="N109" s="506">
        <f>'Dépenses BP 2017'!BJ112*O109</f>
        <v>70.677520937510891</v>
      </c>
      <c r="O109" s="507">
        <f>$O$6/$AG$6</f>
        <v>5.8897934114592404E-2</v>
      </c>
      <c r="P109" s="508">
        <f>'Dépenses BP 2017'!BJ112*Q109</f>
        <v>16.924623166657984</v>
      </c>
      <c r="Q109" s="510">
        <f>$Q$6/$AG$6</f>
        <v>1.4103852638881654E-2</v>
      </c>
      <c r="R109" s="513">
        <f>'Dépenses BP 2017'!BJ112*S109</f>
        <v>0</v>
      </c>
      <c r="S109" s="514">
        <f>$S$6/$AG$6</f>
        <v>0</v>
      </c>
      <c r="T109" s="501">
        <f>'Dépenses BP 2017'!AQ112</f>
        <v>903.69618567794691</v>
      </c>
      <c r="U109" s="503" t="e">
        <f>'Dépenses BP 2017'!#REF!</f>
        <v>#REF!</v>
      </c>
      <c r="V109" s="502"/>
      <c r="W109" s="54"/>
      <c r="X109" s="520">
        <f>'Dépenses BP 2017'!BJ112*Y109</f>
        <v>15.949946621212447</v>
      </c>
      <c r="Y109" s="521">
        <f>$Y$6/$AG$6</f>
        <v>1.3291622184343706E-2</v>
      </c>
      <c r="Z109" s="520">
        <f>'Dépenses BP 2017'!BJ112*AA109</f>
        <v>7.6189115896820798</v>
      </c>
      <c r="AA109" s="521">
        <f>$AA$6/$AG$6</f>
        <v>6.349092991401733E-3</v>
      </c>
      <c r="AB109" s="518">
        <f>'Dépenses BP 2017'!BJ112*AC109</f>
        <v>8.3098375007464895</v>
      </c>
      <c r="AC109" s="593">
        <f>$AC$6/$AG$6</f>
        <v>6.9248645839554077E-3</v>
      </c>
      <c r="AD109" s="597"/>
      <c r="AE109" s="597"/>
      <c r="AF109" s="54"/>
      <c r="AO109" s="205"/>
      <c r="AQ109" s="61"/>
      <c r="AR109" s="94"/>
      <c r="AS109" s="61"/>
      <c r="AT109" s="94"/>
      <c r="AU109" s="61"/>
      <c r="AV109" s="94"/>
      <c r="AW109" s="61"/>
      <c r="AX109" s="94"/>
      <c r="AY109" s="61"/>
      <c r="AZ109" s="94"/>
      <c r="BA109" s="61"/>
      <c r="BB109" s="58"/>
      <c r="BC109" s="211"/>
      <c r="BD109" s="78"/>
      <c r="BE109" s="89"/>
      <c r="BF109" s="78"/>
      <c r="BG109" s="211"/>
      <c r="BH109" s="82"/>
      <c r="BI109" s="87"/>
      <c r="BJ109" s="82"/>
    </row>
    <row r="110" spans="1:62">
      <c r="A110" s="1584" t="str">
        <f>'Dépenses BP 2017'!A116</f>
        <v>MDE - Réception gpe DRH</v>
      </c>
      <c r="B110" s="489"/>
      <c r="C110" s="494"/>
      <c r="D110" s="489"/>
      <c r="E110" s="494"/>
      <c r="F110" s="489"/>
      <c r="G110" s="494"/>
      <c r="H110" s="495"/>
      <c r="I110" s="495"/>
      <c r="J110" s="489"/>
      <c r="K110" s="494"/>
      <c r="L110" s="489"/>
      <c r="M110" s="494"/>
      <c r="N110" s="506"/>
      <c r="O110" s="507"/>
      <c r="P110" s="508"/>
      <c r="Q110" s="510"/>
      <c r="R110" s="515"/>
      <c r="S110" s="515"/>
      <c r="T110" s="501"/>
      <c r="U110" s="503"/>
      <c r="V110" s="502"/>
      <c r="W110" s="54"/>
      <c r="X110" s="520"/>
      <c r="Y110" s="521"/>
      <c r="Z110" s="520"/>
      <c r="AA110" s="521"/>
      <c r="AB110" s="518"/>
      <c r="AC110" s="593"/>
      <c r="AD110" s="597"/>
      <c r="AE110" s="597"/>
      <c r="AF110" s="54"/>
      <c r="AO110" s="205"/>
      <c r="AQ110" s="61"/>
      <c r="AR110" s="94"/>
      <c r="AS110" s="61"/>
      <c r="AT110" s="94"/>
      <c r="AU110" s="61"/>
      <c r="AV110" s="94"/>
      <c r="AW110" s="61"/>
      <c r="AX110" s="94"/>
      <c r="AY110" s="61"/>
      <c r="AZ110" s="94"/>
      <c r="BA110" s="61"/>
      <c r="BB110" s="58">
        <f t="shared" si="3"/>
        <v>0</v>
      </c>
      <c r="BC110" s="211"/>
      <c r="BD110" s="78"/>
      <c r="BE110" s="89"/>
      <c r="BF110" s="78"/>
      <c r="BG110" s="211"/>
      <c r="BH110" s="82">
        <f>'Dépenses BP 2017'!T116</f>
        <v>150</v>
      </c>
      <c r="BI110" s="87">
        <f>'Dépenses BP 2017'!U116</f>
        <v>1</v>
      </c>
      <c r="BJ110" s="82"/>
    </row>
    <row r="111" spans="1:62">
      <c r="A111" s="1584" t="str">
        <f>'Dépenses BP 2017'!A117</f>
        <v>Frais Postaux</v>
      </c>
      <c r="B111" s="489">
        <f>'Dépenses BP 2017'!BJ117*C111</f>
        <v>339.64927085623094</v>
      </c>
      <c r="C111" s="494">
        <f>$C$6/$AG$6</f>
        <v>0.11321642361874365</v>
      </c>
      <c r="D111" s="489">
        <f>'Dépenses BP 2017'!BJ117*E111</f>
        <v>625.14373858826787</v>
      </c>
      <c r="E111" s="494">
        <f>$E$6/$AG$6</f>
        <v>0.20838124619608928</v>
      </c>
      <c r="F111" s="489">
        <f>'Dépenses BP 2017'!BJ117*G111</f>
        <v>337.25515745284844</v>
      </c>
      <c r="G111" s="494">
        <f>$G$6/$AG$6</f>
        <v>0.11241838581761615</v>
      </c>
      <c r="H111" s="495"/>
      <c r="I111" s="495"/>
      <c r="J111" s="489">
        <f>'Dépenses BP 2017'!BJ117*K111</f>
        <v>92.971071854682037</v>
      </c>
      <c r="K111" s="494">
        <f>$K$6/$AG$6</f>
        <v>3.0990357284894014E-2</v>
      </c>
      <c r="L111" s="489">
        <f>'Dépenses BP 2017'!BJ117*M111</f>
        <v>73.749807819125067</v>
      </c>
      <c r="M111" s="494">
        <f>$M$6/$AG$6</f>
        <v>2.4583269273041691E-2</v>
      </c>
      <c r="N111" s="506">
        <f>'Dépenses BP 2017'!BJ117*O111</f>
        <v>176.69380234377721</v>
      </c>
      <c r="O111" s="507">
        <f>$O$6/$AG$6</f>
        <v>5.8897934114592404E-2</v>
      </c>
      <c r="P111" s="508">
        <f>'Dépenses BP 2017'!BJ117*Q111</f>
        <v>42.311557916644965</v>
      </c>
      <c r="Q111" s="510">
        <f>$Q$6/$AG$6</f>
        <v>1.4103852638881654E-2</v>
      </c>
      <c r="R111" s="513">
        <f>'Dépenses BP 2017'!BJ117*S111</f>
        <v>0</v>
      </c>
      <c r="S111" s="514">
        <f>$S$6/$AG$6</f>
        <v>0</v>
      </c>
      <c r="T111" s="501">
        <f>'Dépenses BP 2017'!AQ117</f>
        <v>2259.2404641948679</v>
      </c>
      <c r="U111" s="503" t="e">
        <f>'Dépenses BP 2017'!#REF!</f>
        <v>#REF!</v>
      </c>
      <c r="V111" s="502"/>
      <c r="W111" s="54"/>
      <c r="X111" s="520">
        <f>'Dépenses BP 2017'!BJ117*Y111</f>
        <v>39.874866553031119</v>
      </c>
      <c r="Y111" s="521">
        <f>$Y$6/$AG$6</f>
        <v>1.3291622184343706E-2</v>
      </c>
      <c r="Z111" s="520">
        <f>'Dépenses BP 2017'!BJ117*AA111</f>
        <v>19.047278974205199</v>
      </c>
      <c r="AA111" s="521">
        <f>$AA$6/$AG$6</f>
        <v>6.349092991401733E-3</v>
      </c>
      <c r="AB111" s="518">
        <f>'Dépenses BP 2017'!BJ117*AC111</f>
        <v>20.774593751866224</v>
      </c>
      <c r="AC111" s="593">
        <f>$AC$6/$AG$6</f>
        <v>6.9248645839554077E-3</v>
      </c>
      <c r="AD111" s="597"/>
      <c r="AE111" s="597"/>
      <c r="AF111" s="54"/>
      <c r="AO111" s="205"/>
      <c r="AQ111" s="61">
        <f>'Dépenses BP 2017'!BJ117*AR111</f>
        <v>67.998854316096555</v>
      </c>
      <c r="AR111" s="94">
        <f>$AR$6/$AG$6</f>
        <v>2.2666284772032187E-2</v>
      </c>
      <c r="AS111" s="61">
        <f>'Dépenses BP 2017'!BJ117*AT111</f>
        <v>9.7629278009806626</v>
      </c>
      <c r="AT111" s="94">
        <f>$AT$6/$AG$6</f>
        <v>3.2543092669935539E-3</v>
      </c>
      <c r="AU111" s="61">
        <f>'Dépenses BP 2017'!B117</f>
        <v>48.219928616717006</v>
      </c>
      <c r="AV111" s="94">
        <f>'Dépenses BP 2017'!C117</f>
        <v>1.6073309538905668E-2</v>
      </c>
      <c r="AW111" s="61">
        <f>'Dépenses BP 2017'!E117</f>
        <v>0</v>
      </c>
      <c r="AX111" s="94">
        <f>'Dépenses BP 2017'!F117</f>
        <v>0</v>
      </c>
      <c r="AY111" s="61">
        <f>'Dépenses BP 2017'!G117</f>
        <v>48.219928616717006</v>
      </c>
      <c r="AZ111" s="94">
        <f>'Dépenses BP 2017'!H117</f>
        <v>1.6073309538905668E-2</v>
      </c>
      <c r="BA111" s="61"/>
      <c r="BB111" s="58">
        <f t="shared" si="3"/>
        <v>29.541853500360212</v>
      </c>
      <c r="BC111" s="211"/>
      <c r="BD111" s="78">
        <f>'Dépenses BP 2017'!Q117</f>
        <v>124.60932963498976</v>
      </c>
      <c r="BE111" s="89">
        <f>'Dépenses BP 2017'!R117</f>
        <v>4.1536443211663256E-2</v>
      </c>
      <c r="BF111" s="78"/>
      <c r="BG111" s="211"/>
      <c r="BH111" s="82">
        <f>'Dépenses BP 2017'!T117</f>
        <v>630.80914550790089</v>
      </c>
      <c r="BI111" s="87">
        <f>'Dépenses BP 2017'!U117</f>
        <v>0.21026971516930029</v>
      </c>
      <c r="BJ111" s="82"/>
    </row>
    <row r="112" spans="1:62">
      <c r="A112" s="1584" t="str">
        <f>'Dépenses BP 2017'!A118</f>
        <v xml:space="preserve">Frais de télécommunication </v>
      </c>
      <c r="B112" s="489">
        <f>'Dépenses BP 2017'!BJ118*C112</f>
        <v>622.69032990309006</v>
      </c>
      <c r="C112" s="494">
        <f>$C$6/$AG$6</f>
        <v>0.11321642361874365</v>
      </c>
      <c r="D112" s="489">
        <f>'Dépenses BP 2017'!BJ118*E112</f>
        <v>1146.0968540784911</v>
      </c>
      <c r="E112" s="494">
        <f>$E$6/$AG$6</f>
        <v>0.20838124619608928</v>
      </c>
      <c r="F112" s="489">
        <f>'Dépenses BP 2017'!BJ118*G112</f>
        <v>618.30112199688881</v>
      </c>
      <c r="G112" s="494">
        <f>$G$6/$AG$6</f>
        <v>0.11241838581761615</v>
      </c>
      <c r="H112" s="495"/>
      <c r="I112" s="495"/>
      <c r="J112" s="489">
        <f>'Dépenses BP 2017'!BJ118*K112</f>
        <v>170.44696506691707</v>
      </c>
      <c r="K112" s="494">
        <f>$K$6/$AG$6</f>
        <v>3.0990357284894014E-2</v>
      </c>
      <c r="L112" s="489">
        <f>'Dépenses BP 2017'!BJ118*M112</f>
        <v>135.20798100172931</v>
      </c>
      <c r="M112" s="494">
        <f>$M$6/$AG$6</f>
        <v>2.4583269273041691E-2</v>
      </c>
      <c r="N112" s="506">
        <f>'Dépenses BP 2017'!BJ118*O112</f>
        <v>323.9386376302582</v>
      </c>
      <c r="O112" s="507">
        <f>$O$6/$AG$6</f>
        <v>5.8897934114592404E-2</v>
      </c>
      <c r="P112" s="508">
        <f>'Dépenses BP 2017'!BJ118*Q112</f>
        <v>77.571189513849092</v>
      </c>
      <c r="Q112" s="510">
        <f>$Q$6/$AG$6</f>
        <v>1.4103852638881654E-2</v>
      </c>
      <c r="R112" s="513">
        <f>'Dépenses BP 2017'!BJ118*S112</f>
        <v>0</v>
      </c>
      <c r="S112" s="514">
        <f>$S$6/$AG$6</f>
        <v>0</v>
      </c>
      <c r="T112" s="501">
        <f>'Dépenses BP 2017'!AQ118</f>
        <v>4141.9408510239236</v>
      </c>
      <c r="U112" s="503" t="e">
        <f>'Dépenses BP 2017'!#REF!</f>
        <v>#REF!</v>
      </c>
      <c r="V112" s="502"/>
      <c r="W112" s="54"/>
      <c r="X112" s="520">
        <f>'Dépenses BP 2017'!BJ118*Y112</f>
        <v>73.103922013890383</v>
      </c>
      <c r="Y112" s="521">
        <f>$Y$6/$AG$6</f>
        <v>1.3291622184343706E-2</v>
      </c>
      <c r="Z112" s="520">
        <f>'Dépenses BP 2017'!BJ118*AA112</f>
        <v>34.920011452709531</v>
      </c>
      <c r="AA112" s="521">
        <f>$AA$6/$AG$6</f>
        <v>6.349092991401733E-3</v>
      </c>
      <c r="AB112" s="518">
        <f>'Dépenses BP 2017'!BJ118*AC112</f>
        <v>38.086755211754742</v>
      </c>
      <c r="AC112" s="593">
        <f>$AC$6/$AG$6</f>
        <v>6.9248645839554077E-3</v>
      </c>
      <c r="AD112" s="597"/>
      <c r="AE112" s="597"/>
      <c r="AF112" s="54"/>
      <c r="AO112" s="205"/>
      <c r="AQ112" s="61">
        <f>'Dépenses BP 2017'!BJ118*AR112</f>
        <v>124.66456624617703</v>
      </c>
      <c r="AR112" s="94">
        <f>$AR$6/$AG$6</f>
        <v>2.2666284772032187E-2</v>
      </c>
      <c r="AS112" s="61">
        <f>'Dépenses BP 2017'!BJ118*AT112</f>
        <v>17.898700968464546</v>
      </c>
      <c r="AT112" s="94">
        <f>$AT$6/$AG$6</f>
        <v>3.2543092669935539E-3</v>
      </c>
      <c r="AU112" s="61">
        <f>'Dépenses BP 2017'!B118</f>
        <v>88.403202463981174</v>
      </c>
      <c r="AV112" s="94">
        <f>'Dépenses BP 2017'!C118</f>
        <v>1.6073309538905668E-2</v>
      </c>
      <c r="AW112" s="61">
        <f>'Dépenses BP 2017'!E118</f>
        <v>0</v>
      </c>
      <c r="AX112" s="94">
        <f>'Dépenses BP 2017'!F118</f>
        <v>0</v>
      </c>
      <c r="AY112" s="61">
        <f>'Dépenses BP 2017'!G118</f>
        <v>88.403202463981174</v>
      </c>
      <c r="AZ112" s="94">
        <f>'Dépenses BP 2017'!H118</f>
        <v>1.6073309538905668E-2</v>
      </c>
      <c r="BA112" s="61"/>
      <c r="BB112" s="58">
        <f t="shared" si="3"/>
        <v>54.160064750660396</v>
      </c>
      <c r="BC112" s="211"/>
      <c r="BD112" s="78">
        <f>'Dépenses BP 2017'!Q118</f>
        <v>228.4504376641479</v>
      </c>
      <c r="BE112" s="89">
        <f>'Dépenses BP 2017'!R118</f>
        <v>4.1536443211663256E-2</v>
      </c>
      <c r="BF112" s="78"/>
      <c r="BG112" s="211"/>
      <c r="BH112" s="82">
        <f>'Dépenses BP 2017'!T118</f>
        <v>1156.4834334311518</v>
      </c>
      <c r="BI112" s="87">
        <f>'Dépenses BP 2017'!U118</f>
        <v>0.21026971516930029</v>
      </c>
      <c r="BJ112" s="82"/>
    </row>
    <row r="113" spans="1:62">
      <c r="A113" s="1584" t="str">
        <f>'Dépenses BP 2017'!A120</f>
        <v>Services bancaires</v>
      </c>
      <c r="B113" s="489">
        <f>'Dépenses BP 2017'!BJ120*C113</f>
        <v>28.077673057448425</v>
      </c>
      <c r="C113" s="494">
        <f>$C$6/$AG$6</f>
        <v>0.11321642361874365</v>
      </c>
      <c r="D113" s="489">
        <f>'Dépenses BP 2017'!BJ120*E113</f>
        <v>51.678549056630139</v>
      </c>
      <c r="E113" s="494">
        <f>$E$6/$AG$6</f>
        <v>0.20838124619608928</v>
      </c>
      <c r="F113" s="489">
        <f>'Dépenses BP 2017'!BJ120*G113</f>
        <v>27.879759682768807</v>
      </c>
      <c r="G113" s="494">
        <f>$G$6/$AG$6</f>
        <v>0.11241838581761615</v>
      </c>
      <c r="H113" s="495"/>
      <c r="I113" s="495"/>
      <c r="J113" s="489">
        <f>'Dépenses BP 2017'!BJ120*K113</f>
        <v>7.6856086066537159</v>
      </c>
      <c r="K113" s="494">
        <f>$K$6/$AG$6</f>
        <v>3.0990357284894014E-2</v>
      </c>
      <c r="L113" s="489">
        <f>'Dépenses BP 2017'!BJ120*M113</f>
        <v>6.0966507797143397</v>
      </c>
      <c r="M113" s="494">
        <f>$M$6/$AG$6</f>
        <v>2.4583269273041691E-2</v>
      </c>
      <c r="N113" s="506">
        <f>'Dépenses BP 2017'!BJ120*O113</f>
        <v>14.606687660418917</v>
      </c>
      <c r="O113" s="507">
        <f>$O$6/$AG$6</f>
        <v>5.8897934114592404E-2</v>
      </c>
      <c r="P113" s="508">
        <f>'Dépenses BP 2017'!BJ120*Q113</f>
        <v>3.4977554544426503</v>
      </c>
      <c r="Q113" s="510">
        <f>$Q$6/$AG$6</f>
        <v>1.4103852638881654E-2</v>
      </c>
      <c r="R113" s="513">
        <f>'Dépenses BP 2017'!BJ120*S113</f>
        <v>0</v>
      </c>
      <c r="S113" s="514">
        <f>$S$6/$AG$6</f>
        <v>0</v>
      </c>
      <c r="T113" s="501">
        <f>'Dépenses BP 2017'!AQ120</f>
        <v>186.7638783734424</v>
      </c>
      <c r="U113" s="503" t="e">
        <f>'Dépenses BP 2017'!#REF!</f>
        <v>#REF!</v>
      </c>
      <c r="V113" s="502"/>
      <c r="W113" s="54"/>
      <c r="X113" s="520">
        <f>'Dépenses BP 2017'!BJ120*Y113</f>
        <v>3.2963223017172392</v>
      </c>
      <c r="Y113" s="521">
        <f>$Y$6/$AG$6</f>
        <v>1.3291622184343706E-2</v>
      </c>
      <c r="Z113" s="520">
        <f>'Dépenses BP 2017'!BJ120*AA113</f>
        <v>1.5745750618676297</v>
      </c>
      <c r="AA113" s="521">
        <f>$AA$6/$AG$6</f>
        <v>6.349092991401733E-3</v>
      </c>
      <c r="AB113" s="518">
        <f>'Dépenses BP 2017'!BJ120*AC113</f>
        <v>1.717366416820941</v>
      </c>
      <c r="AC113" s="593">
        <f>$AC$6/$AG$6</f>
        <v>6.9248645839554077E-3</v>
      </c>
      <c r="AD113" s="597"/>
      <c r="AE113" s="597"/>
      <c r="AF113" s="54"/>
      <c r="AO113" s="205"/>
      <c r="AQ113" s="61">
        <f>'Dépenses BP 2017'!BJ120*AR113</f>
        <v>5.6212386234639826</v>
      </c>
      <c r="AR113" s="94">
        <f>$AR$6/$AG$6</f>
        <v>2.2666284772032187E-2</v>
      </c>
      <c r="AS113" s="61">
        <f>'Dépenses BP 2017'!BJ120*AT113</f>
        <v>0.80706869821440141</v>
      </c>
      <c r="AT113" s="94">
        <f>$AT$6/$AG$6</f>
        <v>3.2543092669935539E-3</v>
      </c>
      <c r="AU113" s="61">
        <f>'Dépenses BP 2017'!B120</f>
        <v>3.9861807656486055</v>
      </c>
      <c r="AV113" s="94">
        <f>'Dépenses BP 2017'!C120</f>
        <v>1.6073309538905668E-2</v>
      </c>
      <c r="AW113" s="61">
        <f>'Dépenses BP 2017'!E120</f>
        <v>0</v>
      </c>
      <c r="AX113" s="94">
        <f>'Dépenses BP 2017'!F120</f>
        <v>0</v>
      </c>
      <c r="AY113" s="61">
        <f>'Dépenses BP 2017'!G120</f>
        <v>3.9861807656486055</v>
      </c>
      <c r="AZ113" s="94">
        <f>'Dépenses BP 2017'!H120</f>
        <v>1.6073309538905668E-2</v>
      </c>
      <c r="BA113" s="61"/>
      <c r="BB113" s="58">
        <f t="shared" si="3"/>
        <v>2.4421265560297782</v>
      </c>
      <c r="BC113" s="211"/>
      <c r="BD113" s="78">
        <f>'Dépenses BP 2017'!Q120</f>
        <v>10.301037916492488</v>
      </c>
      <c r="BE113" s="89">
        <f>'Dépenses BP 2017'!R120</f>
        <v>4.1536443211663256E-2</v>
      </c>
      <c r="BF113" s="78"/>
      <c r="BG113" s="211"/>
      <c r="BH113" s="82">
        <f>'Dépenses BP 2017'!T120</f>
        <v>52.146889361986482</v>
      </c>
      <c r="BI113" s="87">
        <f>'Dépenses BP 2017'!U120</f>
        <v>0.21026971516930029</v>
      </c>
      <c r="BJ113" s="82"/>
    </row>
    <row r="114" spans="1:62">
      <c r="A114" s="1584" t="str">
        <f>'Dépenses BP 2017'!A121</f>
        <v>MEF Cotisations diverses</v>
      </c>
      <c r="B114" s="489">
        <f>'Dépenses BP 2017'!BJ121*C114</f>
        <v>15.850299306624111</v>
      </c>
      <c r="C114" s="494">
        <f>$C$6/$AG$6</f>
        <v>0.11321642361874365</v>
      </c>
      <c r="D114" s="489">
        <f>'Dépenses BP 2017'!BJ121*E114</f>
        <v>29.173374467452497</v>
      </c>
      <c r="E114" s="494">
        <f>$E$6/$AG$6</f>
        <v>0.20838124619608928</v>
      </c>
      <c r="F114" s="489">
        <f>'Dépenses BP 2017'!BJ121*G114</f>
        <v>15.738574014466261</v>
      </c>
      <c r="G114" s="494">
        <f>$G$6/$AG$6</f>
        <v>0.11241838581761615</v>
      </c>
      <c r="H114" s="495"/>
      <c r="I114" s="495"/>
      <c r="J114" s="489">
        <f>'Dépenses BP 2017'!BJ121*K114</f>
        <v>4.3386500198851623</v>
      </c>
      <c r="K114" s="494">
        <f>$K$6/$AG$6</f>
        <v>3.0990357284894014E-2</v>
      </c>
      <c r="L114" s="489">
        <f>'Dépenses BP 2017'!BJ121*M114</f>
        <v>3.4416576982258369</v>
      </c>
      <c r="M114" s="494">
        <f>$M$6/$AG$6</f>
        <v>2.4583269273041691E-2</v>
      </c>
      <c r="N114" s="506">
        <f>'Dépenses BP 2017'!BJ121*O114</f>
        <v>8.2457107760429373</v>
      </c>
      <c r="O114" s="507">
        <f>$O$6/$AG$6</f>
        <v>5.8897934114592404E-2</v>
      </c>
      <c r="P114" s="508">
        <f>'Dépenses BP 2017'!BJ121*Q114</f>
        <v>1.9745393694434317</v>
      </c>
      <c r="Q114" s="510">
        <f>$Q$6/$AG$6</f>
        <v>1.4103852638881654E-2</v>
      </c>
      <c r="R114" s="513">
        <f>'Dépenses BP 2017'!BJ121*S114</f>
        <v>0</v>
      </c>
      <c r="S114" s="514">
        <f>$S$6/$AG$6</f>
        <v>0</v>
      </c>
      <c r="T114" s="501">
        <f>'Dépenses BP 2017'!AQ121</f>
        <v>105.43122166242715</v>
      </c>
      <c r="U114" s="503" t="e">
        <f>'Dépenses BP 2017'!#REF!</f>
        <v>#REF!</v>
      </c>
      <c r="V114" s="502"/>
      <c r="W114" s="54"/>
      <c r="X114" s="520">
        <f>'Dépenses BP 2017'!BJ121*Y114</f>
        <v>1.8608271058081189</v>
      </c>
      <c r="Y114" s="521">
        <f>$Y$6/$AG$6</f>
        <v>1.3291622184343706E-2</v>
      </c>
      <c r="Z114" s="520">
        <f>'Dépenses BP 2017'!BJ121*AA114</f>
        <v>0.88887301879624259</v>
      </c>
      <c r="AA114" s="521">
        <f>$AA$6/$AG$6</f>
        <v>6.349092991401733E-3</v>
      </c>
      <c r="AB114" s="518">
        <f>'Dépenses BP 2017'!BJ121*AC114</f>
        <v>0.96948104175375704</v>
      </c>
      <c r="AC114" s="593">
        <f>$AC$6/$AG$6</f>
        <v>6.9248645839554077E-3</v>
      </c>
      <c r="AD114" s="597"/>
      <c r="AE114" s="597"/>
      <c r="AF114" s="54"/>
      <c r="AO114" s="205"/>
      <c r="AQ114" s="61">
        <f>'Dépenses BP 2017'!BJ121*AR114</f>
        <v>3.173279868084506</v>
      </c>
      <c r="AR114" s="94">
        <f>$AR$6/$AG$6</f>
        <v>2.2666284772032187E-2</v>
      </c>
      <c r="AS114" s="61">
        <f>'Dépenses BP 2017'!BJ121*AT114</f>
        <v>0.45560329737909755</v>
      </c>
      <c r="AT114" s="94">
        <f>$AT$6/$AG$6</f>
        <v>3.2543092669935539E-3</v>
      </c>
      <c r="AU114" s="61">
        <f>'Dépenses BP 2017'!B121</f>
        <v>2.2502633354467934</v>
      </c>
      <c r="AV114" s="94">
        <f>'Dépenses BP 2017'!C121</f>
        <v>1.6073309538905668E-2</v>
      </c>
      <c r="AW114" s="61">
        <f>'Dépenses BP 2017'!E121</f>
        <v>0</v>
      </c>
      <c r="AX114" s="94">
        <f>'Dépenses BP 2017'!F121</f>
        <v>0</v>
      </c>
      <c r="AY114" s="61">
        <f>'Dépenses BP 2017'!G121</f>
        <v>2.2502633354467934</v>
      </c>
      <c r="AZ114" s="94">
        <f>'Dépenses BP 2017'!H121</f>
        <v>1.6073309538905668E-2</v>
      </c>
      <c r="BA114" s="61"/>
      <c r="BB114" s="58">
        <f t="shared" si="3"/>
        <v>1.3786198300168104</v>
      </c>
      <c r="BC114" s="211"/>
      <c r="BD114" s="78">
        <f>'Dépenses BP 2017'!Q121</f>
        <v>5.8151020496328556</v>
      </c>
      <c r="BE114" s="89">
        <f>'Dépenses BP 2017'!R121</f>
        <v>4.1536443211663256E-2</v>
      </c>
      <c r="BF114" s="78"/>
      <c r="BG114" s="211"/>
      <c r="BH114" s="82">
        <f>'Dépenses BP 2017'!T121</f>
        <v>29.437760123702041</v>
      </c>
      <c r="BI114" s="87">
        <f>'Dépenses BP 2017'!U121</f>
        <v>0.21026971516930029</v>
      </c>
      <c r="BJ114" s="82"/>
    </row>
    <row r="115" spans="1:62">
      <c r="A115" s="1584" t="str">
        <f>'Dépenses BP 2017'!A122</f>
        <v>MDE Cotisations diverses</v>
      </c>
      <c r="B115" s="489"/>
      <c r="C115" s="494"/>
      <c r="D115" s="489"/>
      <c r="E115" s="494"/>
      <c r="F115" s="489"/>
      <c r="G115" s="494"/>
      <c r="H115" s="495"/>
      <c r="I115" s="495"/>
      <c r="J115" s="489"/>
      <c r="K115" s="494"/>
      <c r="L115" s="489"/>
      <c r="M115" s="494"/>
      <c r="N115" s="506"/>
      <c r="O115" s="507"/>
      <c r="P115" s="508"/>
      <c r="Q115" s="510"/>
      <c r="R115" s="513"/>
      <c r="S115" s="515"/>
      <c r="T115" s="501"/>
      <c r="U115" s="503"/>
      <c r="V115" s="502"/>
      <c r="W115" s="54"/>
      <c r="X115" s="520"/>
      <c r="Y115" s="521"/>
      <c r="Z115" s="520"/>
      <c r="AA115" s="521"/>
      <c r="AB115" s="518"/>
      <c r="AC115" s="593"/>
      <c r="AD115" s="597"/>
      <c r="AE115" s="597"/>
      <c r="AF115" s="54"/>
      <c r="AO115" s="205"/>
      <c r="AQ115" s="61">
        <f>'Dépenses BP 2017'!BJ122*AR115</f>
        <v>91.626804367499659</v>
      </c>
      <c r="AR115" s="94">
        <f>$AR$6/$BJ$6</f>
        <v>0.10779624043235254</v>
      </c>
      <c r="AS115" s="61">
        <f>'Dépenses BP 2017'!BJ122*AT115</f>
        <v>13.15530805145821</v>
      </c>
      <c r="AT115" s="94">
        <f>$AT$6/$BJ$6</f>
        <v>1.5476833001715542E-2</v>
      </c>
      <c r="AU115" s="61">
        <f>'Dépenses BP 2017'!B122</f>
        <v>64.975182455873394</v>
      </c>
      <c r="AV115" s="94">
        <f>'Dépenses BP 2017'!C122</f>
        <v>7.6441391124556932E-2</v>
      </c>
      <c r="AW115" s="61">
        <f>'Dépenses BP 2017'!E122</f>
        <v>0</v>
      </c>
      <c r="AX115" s="94">
        <f>'Dépenses BP 2017'!F122</f>
        <v>0</v>
      </c>
      <c r="AY115" s="61">
        <f>'Dépenses BP 2017'!G122</f>
        <v>64.975182455873394</v>
      </c>
      <c r="AZ115" s="94">
        <f>'Dépenses BP 2017'!H122</f>
        <v>7.6441391124556932E-2</v>
      </c>
      <c r="BA115" s="61"/>
      <c r="BB115" s="58">
        <f t="shared" si="3"/>
        <v>39.806929963084471</v>
      </c>
      <c r="BC115" s="211"/>
      <c r="BD115" s="78">
        <f>'Dépenses BP 2017'!Q122</f>
        <v>167.90804468197848</v>
      </c>
      <c r="BE115" s="89">
        <f>'Dépenses BP 2017'!R122</f>
        <v>0.19753887609644527</v>
      </c>
      <c r="BF115" s="78"/>
      <c r="BG115" s="211"/>
      <c r="BH115" s="82">
        <f>'Dépenses BP 2017'!T122</f>
        <v>850</v>
      </c>
      <c r="BI115" s="87">
        <f>'Dépenses BP 2017'!U122</f>
        <v>0.99999999999999989</v>
      </c>
      <c r="BJ115" s="82"/>
    </row>
    <row r="116" spans="1:62">
      <c r="A116" s="1584" t="str">
        <f>'Dépenses BP 2017'!A123</f>
        <v>ML Cotisations diverses</v>
      </c>
      <c r="B116" s="489">
        <f>'Dépenses BP 2017'!BJ123*C116</f>
        <v>240.54050110316015</v>
      </c>
      <c r="C116" s="494">
        <f>$C$6/$V$6</f>
        <v>0.15033781318947509</v>
      </c>
      <c r="D116" s="489">
        <f>'Dépenses BP 2017'!BJ123*E116</f>
        <v>442.72842913057661</v>
      </c>
      <c r="E116" s="494">
        <f>$E$6/$V$6</f>
        <v>0.2767052682066104</v>
      </c>
      <c r="F116" s="489">
        <f>'Dépenses BP 2017'!BJ123*G116</f>
        <v>238.84498373521268</v>
      </c>
      <c r="G116" s="494">
        <f>$G$6/$V$6</f>
        <v>0.14927811483450792</v>
      </c>
      <c r="H116" s="495"/>
      <c r="I116" s="495"/>
      <c r="J116" s="489">
        <f>'Dépenses BP 2017'!BJ123*K116</f>
        <v>65.84235601521199</v>
      </c>
      <c r="K116" s="494">
        <f>$K$6/$V$6</f>
        <v>4.1151472509507493E-2</v>
      </c>
      <c r="L116" s="489">
        <f>'Dépenses BP 2017'!BJ123*M116</f>
        <v>52.229806601242878</v>
      </c>
      <c r="M116" s="494">
        <f>$M$6/$V$6</f>
        <v>3.2643629125776799E-2</v>
      </c>
      <c r="N116" s="506">
        <f>'Dépenses BP 2017'!BJ123*O116</f>
        <v>125.13501250996484</v>
      </c>
      <c r="O116" s="507">
        <f>$O$6/$V$6</f>
        <v>7.8209382818728024E-2</v>
      </c>
      <c r="P116" s="508">
        <f>'Dépenses BP 2017'!BJ123*Q116</f>
        <v>29.965155874081717</v>
      </c>
      <c r="Q116" s="510">
        <f>$Q$6/$V$6</f>
        <v>1.8728222421301073E-2</v>
      </c>
      <c r="R116" s="513">
        <f>'Dépenses BP 2017'!BJ123*S116</f>
        <v>0</v>
      </c>
      <c r="S116" s="515">
        <f>$S$6/$V$6</f>
        <v>0</v>
      </c>
      <c r="T116" s="501">
        <f>'Dépenses BP 2017'!AQ123</f>
        <v>1600</v>
      </c>
      <c r="U116" s="503" t="e">
        <f>'Dépenses BP 2017'!#REF!</f>
        <v>#REF!</v>
      </c>
      <c r="V116" s="502"/>
      <c r="W116" s="54"/>
      <c r="X116" s="520">
        <f>'Dépenses BP 2017'!BJ123*Y116</f>
        <v>28.23948468344485</v>
      </c>
      <c r="Y116" s="521">
        <f>$Y$6/$V$6</f>
        <v>1.764967792715303E-2</v>
      </c>
      <c r="Z116" s="520">
        <f>'Dépenses BP 2017'!BJ123*AA116</f>
        <v>13.489332738907461</v>
      </c>
      <c r="AA116" s="521">
        <f>$AA$6/$V$6</f>
        <v>8.4308329618171633E-3</v>
      </c>
      <c r="AB116" s="518">
        <f>'Dépenses BP 2017'!BJ123*AC116</f>
        <v>14.7126215778149</v>
      </c>
      <c r="AC116" s="593">
        <f>$AC$6/$V$6</f>
        <v>9.1953884861343121E-3</v>
      </c>
      <c r="AD116" s="597"/>
      <c r="AE116" s="597"/>
      <c r="AF116" s="54"/>
      <c r="AO116" s="205"/>
      <c r="AQ116" s="61"/>
      <c r="AR116" s="94"/>
      <c r="AS116" s="61"/>
      <c r="AT116" s="94"/>
      <c r="AU116" s="61"/>
      <c r="AV116" s="94"/>
      <c r="AW116" s="61"/>
      <c r="AX116" s="94"/>
      <c r="AY116" s="61"/>
      <c r="AZ116" s="94"/>
      <c r="BA116" s="61"/>
      <c r="BB116" s="58">
        <f t="shared" si="3"/>
        <v>0</v>
      </c>
      <c r="BC116" s="211"/>
      <c r="BD116" s="78"/>
      <c r="BE116" s="89"/>
      <c r="BF116" s="78"/>
      <c r="BG116" s="211"/>
      <c r="BH116" s="82"/>
      <c r="BI116" s="87"/>
      <c r="BJ116" s="82"/>
    </row>
    <row r="117" spans="1:62">
      <c r="A117" s="67" t="str">
        <f>'Dépenses BP 2017'!A124</f>
        <v>Impôts et taxes</v>
      </c>
      <c r="B117" s="73">
        <f>SUM(B118:B119)</f>
        <v>56.608211809371824</v>
      </c>
      <c r="C117" s="88"/>
      <c r="D117" s="73">
        <f>SUM(D118:D119)</f>
        <v>104.19062309804464</v>
      </c>
      <c r="E117" s="88"/>
      <c r="F117" s="73">
        <f>SUM(F118:F119)</f>
        <v>56.209192908808078</v>
      </c>
      <c r="G117" s="88"/>
      <c r="H117" s="125">
        <v>0</v>
      </c>
      <c r="I117" s="129"/>
      <c r="J117" s="73">
        <f>SUM(J118:J119)</f>
        <v>15.495178642447007</v>
      </c>
      <c r="K117" s="88"/>
      <c r="L117" s="73">
        <f>SUM(L118:L119)</f>
        <v>12.291634636520845</v>
      </c>
      <c r="M117" s="88"/>
      <c r="N117" s="73">
        <f>SUM(N118:N119)</f>
        <v>29.448967057296201</v>
      </c>
      <c r="O117" s="88"/>
      <c r="P117" s="73">
        <f>SUM(P118:P119)</f>
        <v>7.0519263194408275</v>
      </c>
      <c r="Q117" s="88"/>
      <c r="R117" s="73">
        <f>SUM(R118:R119)</f>
        <v>0</v>
      </c>
      <c r="S117" s="88"/>
      <c r="T117" s="73">
        <f>'Dépenses BP 2017'!AQ124</f>
        <v>500</v>
      </c>
      <c r="U117" s="88"/>
      <c r="V117" s="131" t="str">
        <f>'Dépenses BP 2017'!P124</f>
        <v>/</v>
      </c>
      <c r="W117" s="53"/>
      <c r="X117" s="73">
        <f>SUM(X118:X119)</f>
        <v>6.6458110921718534</v>
      </c>
      <c r="Y117" s="524"/>
      <c r="Z117" s="73">
        <f>SUM(Z118:Z119)</f>
        <v>3.1745464957008664</v>
      </c>
      <c r="AA117" s="522"/>
      <c r="AB117" s="62"/>
      <c r="AC117" s="62"/>
      <c r="AD117" s="62"/>
      <c r="AE117" s="522"/>
      <c r="AF117" s="53"/>
      <c r="AO117" s="205"/>
      <c r="AQ117" s="62">
        <f>SUM(AQ118:AQ119)</f>
        <v>11.333142386016092</v>
      </c>
      <c r="AR117" s="93"/>
      <c r="AS117" s="62">
        <f>SUM(AS118:AS119)</f>
        <v>1.627154633496777</v>
      </c>
      <c r="AT117" s="93"/>
      <c r="AU117" s="62">
        <f>'Dépenses BP 2017'!B124</f>
        <v>0</v>
      </c>
      <c r="AV117" s="93"/>
      <c r="AW117" s="62">
        <f>'Dépenses BP 2017'!E124</f>
        <v>0</v>
      </c>
      <c r="AX117" s="93"/>
      <c r="AY117" s="62">
        <f>'Dépenses BP 2017'!G124</f>
        <v>0</v>
      </c>
      <c r="AZ117" s="93"/>
      <c r="BA117" s="62" t="str">
        <f>'Dépenses BP 2017'!I124</f>
        <v>/</v>
      </c>
      <c r="BB117" s="58">
        <f t="shared" si="3"/>
        <v>12.96029701951287</v>
      </c>
      <c r="BC117" s="211"/>
      <c r="BD117" s="73">
        <f>'Dépenses BP 2017'!Q124</f>
        <v>0</v>
      </c>
      <c r="BE117" s="88"/>
      <c r="BF117" s="73" t="str">
        <f>'Dépenses BP 2017'!S124</f>
        <v>/</v>
      </c>
      <c r="BG117" s="211"/>
      <c r="BH117" s="73">
        <f>'Dépenses BP 2017'!T124</f>
        <v>0</v>
      </c>
      <c r="BI117" s="88"/>
      <c r="BJ117" s="83"/>
    </row>
    <row r="118" spans="1:62">
      <c r="A118" s="1584" t="str">
        <f>'Dépenses BP 2017'!A125</f>
        <v>Taxes diverses - URSSAF PMSMP</v>
      </c>
      <c r="B118" s="489">
        <f>'Dépenses BP 2017'!BJ125*C118</f>
        <v>56.608211809371824</v>
      </c>
      <c r="C118" s="494">
        <f>$C$6/$AG$6</f>
        <v>0.11321642361874365</v>
      </c>
      <c r="D118" s="489">
        <f>'Dépenses BP 2017'!BJ125*E118</f>
        <v>104.19062309804464</v>
      </c>
      <c r="E118" s="494">
        <f>$E$6/$AG$6</f>
        <v>0.20838124619608928</v>
      </c>
      <c r="F118" s="489">
        <f>'Dépenses BP 2017'!BJ125*G118</f>
        <v>56.209192908808078</v>
      </c>
      <c r="G118" s="494">
        <f>$G$6/$AG$6</f>
        <v>0.11241838581761615</v>
      </c>
      <c r="H118" s="495"/>
      <c r="I118" s="495"/>
      <c r="J118" s="489">
        <f>'Dépenses BP 2017'!BJ125*K118</f>
        <v>15.495178642447007</v>
      </c>
      <c r="K118" s="494">
        <f>$K$6/$AG$6</f>
        <v>3.0990357284894014E-2</v>
      </c>
      <c r="L118" s="489">
        <f>'Dépenses BP 2017'!BJ125*M118</f>
        <v>12.291634636520845</v>
      </c>
      <c r="M118" s="494">
        <f>$M$6/$AG$6</f>
        <v>2.4583269273041691E-2</v>
      </c>
      <c r="N118" s="506">
        <f>'Dépenses BP 2017'!BJ125*O118</f>
        <v>29.448967057296201</v>
      </c>
      <c r="O118" s="507">
        <f>$O$6/$AG$6</f>
        <v>5.8897934114592404E-2</v>
      </c>
      <c r="P118" s="508">
        <f>'Dépenses BP 2017'!BJ125*Q118</f>
        <v>7.0519263194408275</v>
      </c>
      <c r="Q118" s="510">
        <f>$Q$6/$AG$6</f>
        <v>1.4103852638881654E-2</v>
      </c>
      <c r="R118" s="513">
        <f>'Dépenses BP 2017'!BJ125*S118</f>
        <v>0</v>
      </c>
      <c r="S118" s="514">
        <f>$S$6/$AG$6</f>
        <v>0</v>
      </c>
      <c r="T118" s="501">
        <f>'Dépenses BP 2017'!AQ125</f>
        <v>500</v>
      </c>
      <c r="U118" s="503" t="e">
        <f>'Dépenses BP 2017'!#REF!</f>
        <v>#REF!</v>
      </c>
      <c r="V118" s="502"/>
      <c r="W118" s="54"/>
      <c r="X118" s="520">
        <f>'Dépenses BP 2017'!BJ125*Y118</f>
        <v>6.6458110921718534</v>
      </c>
      <c r="Y118" s="521">
        <f>$Y$6/$AG$6</f>
        <v>1.3291622184343706E-2</v>
      </c>
      <c r="Z118" s="520">
        <f>'Dépenses BP 2017'!BJ125*AA118</f>
        <v>3.1745464957008664</v>
      </c>
      <c r="AA118" s="521">
        <f>$AA$6/$AG$6</f>
        <v>6.349092991401733E-3</v>
      </c>
      <c r="AB118" s="518">
        <f>'Dépenses BP 2017'!BJ125*AC118</f>
        <v>3.462432291977704</v>
      </c>
      <c r="AC118" s="593">
        <f>$AC$6/$AG$6</f>
        <v>6.9248645839554077E-3</v>
      </c>
      <c r="AD118" s="597"/>
      <c r="AE118" s="597"/>
      <c r="AF118" s="54"/>
      <c r="AO118" s="205"/>
      <c r="AQ118" s="61">
        <f>'Dépenses BP 2017'!BJ125*AR118</f>
        <v>11.333142386016092</v>
      </c>
      <c r="AR118" s="94">
        <f>$AR$6/$AG$6</f>
        <v>2.2666284772032187E-2</v>
      </c>
      <c r="AS118" s="61">
        <f>'Dépenses BP 2017'!BJ125*AT118</f>
        <v>1.627154633496777</v>
      </c>
      <c r="AT118" s="94">
        <f>$AT$6/$AG$6</f>
        <v>3.2543092669935539E-3</v>
      </c>
      <c r="AU118" s="61">
        <f>'Dépenses BP 2017'!B125</f>
        <v>0</v>
      </c>
      <c r="AV118" s="94">
        <f>'Dépenses BP 2017'!C125</f>
        <v>0</v>
      </c>
      <c r="AW118" s="61">
        <f>'Dépenses BP 2017'!E125</f>
        <v>0</v>
      </c>
      <c r="AX118" s="94">
        <f>'Dépenses BP 2017'!F125</f>
        <v>0</v>
      </c>
      <c r="AY118" s="61">
        <f>'Dépenses BP 2017'!G125</f>
        <v>0</v>
      </c>
      <c r="AZ118" s="94">
        <f>'Dépenses BP 2017'!H125</f>
        <v>0</v>
      </c>
      <c r="BA118" s="61"/>
      <c r="BB118" s="58">
        <f t="shared" si="3"/>
        <v>12.96029701951287</v>
      </c>
      <c r="BC118" s="211"/>
      <c r="BD118" s="78">
        <f>'Dépenses BP 2017'!Q125</f>
        <v>0</v>
      </c>
      <c r="BE118" s="89">
        <f>'Dépenses BP 2017'!R125</f>
        <v>0</v>
      </c>
      <c r="BF118" s="78"/>
      <c r="BG118" s="211"/>
      <c r="BH118" s="82">
        <f>'Dépenses BP 2017'!T125</f>
        <v>0</v>
      </c>
      <c r="BI118" s="87">
        <f>'Dépenses BP 2017'!U125</f>
        <v>0</v>
      </c>
      <c r="BJ118" s="82"/>
    </row>
    <row r="119" spans="1:62">
      <c r="A119" s="1584" t="str">
        <f>'Dépenses BP 2017'!A126</f>
        <v>Formation Continue</v>
      </c>
      <c r="B119" s="489">
        <f>'Dépenses BP 2017'!BJ126*C119</f>
        <v>0</v>
      </c>
      <c r="C119" s="494">
        <f>$C$6/$AG$6</f>
        <v>0.11321642361874365</v>
      </c>
      <c r="D119" s="489">
        <f>'Dépenses BP 2017'!BJ126*E119</f>
        <v>0</v>
      </c>
      <c r="E119" s="494">
        <f>$E$6/$AG$6</f>
        <v>0.20838124619608928</v>
      </c>
      <c r="F119" s="489">
        <f>'Dépenses BP 2017'!BJ126*G119</f>
        <v>0</v>
      </c>
      <c r="G119" s="494">
        <f>$G$6/$AG$6</f>
        <v>0.11241838581761615</v>
      </c>
      <c r="H119" s="495"/>
      <c r="I119" s="495"/>
      <c r="J119" s="489">
        <f>'Dépenses BP 2017'!BJ126*K119</f>
        <v>0</v>
      </c>
      <c r="K119" s="494">
        <f>$K$6/$AG$6</f>
        <v>3.0990357284894014E-2</v>
      </c>
      <c r="L119" s="489">
        <f>'Dépenses BP 2017'!BJ126*M119</f>
        <v>0</v>
      </c>
      <c r="M119" s="494">
        <f>$M$6/$AG$6</f>
        <v>2.4583269273041691E-2</v>
      </c>
      <c r="N119" s="506">
        <f>'Dépenses BP 2017'!BJ126*O119</f>
        <v>0</v>
      </c>
      <c r="O119" s="507">
        <f>$O$6/$AG$6</f>
        <v>5.8897934114592404E-2</v>
      </c>
      <c r="P119" s="508">
        <f>'Dépenses BP 2017'!BJ126*Q119</f>
        <v>0</v>
      </c>
      <c r="Q119" s="510">
        <f>$Q$6/$AG$6</f>
        <v>1.4103852638881654E-2</v>
      </c>
      <c r="R119" s="513">
        <f>'Dépenses BP 2017'!BJ126*S119</f>
        <v>0</v>
      </c>
      <c r="S119" s="514">
        <f>$S$6/$AG$6</f>
        <v>0</v>
      </c>
      <c r="T119" s="501">
        <f>'Dépenses BP 2017'!AQ126</f>
        <v>0</v>
      </c>
      <c r="U119" s="503" t="e">
        <f>'Dépenses BP 2017'!#REF!</f>
        <v>#REF!</v>
      </c>
      <c r="V119" s="502"/>
      <c r="W119" s="54"/>
      <c r="X119" s="520">
        <f>'Dépenses BP 2017'!BJ126*Y119</f>
        <v>0</v>
      </c>
      <c r="Y119" s="521">
        <f>$Y$6/$AG$6</f>
        <v>1.3291622184343706E-2</v>
      </c>
      <c r="Z119" s="520">
        <f>'Dépenses BP 2017'!BJ126*AA119</f>
        <v>0</v>
      </c>
      <c r="AA119" s="521">
        <f>$AA$6/$AG$6</f>
        <v>6.349092991401733E-3</v>
      </c>
      <c r="AB119" s="518">
        <f>'Dépenses BP 2017'!BJ126*AC119</f>
        <v>0</v>
      </c>
      <c r="AC119" s="593">
        <f>$AC$6/$AG$6</f>
        <v>6.9248645839554077E-3</v>
      </c>
      <c r="AD119" s="597"/>
      <c r="AE119" s="597"/>
      <c r="AF119" s="54"/>
      <c r="AO119" s="205"/>
      <c r="AQ119" s="61">
        <f>'Dépenses BP 2017'!BJ126*AR119</f>
        <v>0</v>
      </c>
      <c r="AR119" s="94">
        <f>$AR$6/$AG$6</f>
        <v>2.2666284772032187E-2</v>
      </c>
      <c r="AS119" s="61">
        <f>'Dépenses BP 2017'!BJ126*AT119</f>
        <v>0</v>
      </c>
      <c r="AT119" s="94">
        <f>$AT$6/$AG$6</f>
        <v>3.2543092669935539E-3</v>
      </c>
      <c r="AU119" s="61">
        <f>'Dépenses BP 2017'!B126</f>
        <v>0</v>
      </c>
      <c r="AV119" s="94">
        <f>'Dépenses BP 2017'!C126</f>
        <v>1.6073309538905668E-2</v>
      </c>
      <c r="AW119" s="61">
        <f>'Dépenses BP 2017'!E126</f>
        <v>0</v>
      </c>
      <c r="AX119" s="94">
        <f>'Dépenses BP 2017'!F126</f>
        <v>0</v>
      </c>
      <c r="AY119" s="61">
        <f>'Dépenses BP 2017'!G126</f>
        <v>0</v>
      </c>
      <c r="AZ119" s="94">
        <f>'Dépenses BP 2017'!H126</f>
        <v>1.6073309538905668E-2</v>
      </c>
      <c r="BA119" s="61"/>
      <c r="BB119" s="58">
        <f t="shared" si="3"/>
        <v>0</v>
      </c>
      <c r="BC119" s="211"/>
      <c r="BD119" s="78">
        <f>'Dépenses BP 2017'!Q126</f>
        <v>0</v>
      </c>
      <c r="BE119" s="89">
        <f>'Dépenses BP 2017'!R126</f>
        <v>4.1536443211663256E-2</v>
      </c>
      <c r="BF119" s="78"/>
      <c r="BG119" s="211"/>
      <c r="BH119" s="82">
        <f>'Dépenses BP 2017'!T126</f>
        <v>0</v>
      </c>
      <c r="BI119" s="87">
        <f>'Dépenses BP 2017'!U126</f>
        <v>0.21026971516930029</v>
      </c>
      <c r="BJ119" s="82"/>
    </row>
    <row r="120" spans="1:62" s="50" customFormat="1">
      <c r="A120" s="67" t="str">
        <f>'Dépenses BP 2017'!A127</f>
        <v>Dotation</v>
      </c>
      <c r="B120" s="73">
        <f>SUM(B121:B122)</f>
        <v>815.15825005495424</v>
      </c>
      <c r="C120" s="73"/>
      <c r="D120" s="73">
        <f>SUM(D121:D122)</f>
        <v>1500.3449726118429</v>
      </c>
      <c r="E120" s="73"/>
      <c r="F120" s="73">
        <f>SUM(F121:F122)</f>
        <v>809.41237788683634</v>
      </c>
      <c r="G120" s="88"/>
      <c r="H120" s="125">
        <v>0</v>
      </c>
      <c r="I120" s="129"/>
      <c r="J120" s="73">
        <f>SUM(J121:J122)</f>
        <v>223.1305724512369</v>
      </c>
      <c r="K120" s="88"/>
      <c r="L120" s="73">
        <f>SUM(L121:L122)</f>
        <v>176.99953876590018</v>
      </c>
      <c r="M120" s="88"/>
      <c r="N120" s="73">
        <f>SUM(N121:N122)</f>
        <v>424.06512562506532</v>
      </c>
      <c r="O120" s="88"/>
      <c r="P120" s="73">
        <f>SUM(P121:P122)</f>
        <v>101.54773899994791</v>
      </c>
      <c r="Q120" s="88"/>
      <c r="R120" s="73">
        <f>SUM(R121:R122)</f>
        <v>0</v>
      </c>
      <c r="S120" s="88"/>
      <c r="T120" s="73">
        <f>'Dépenses BP 2017'!AQ127</f>
        <v>43822.177114067679</v>
      </c>
      <c r="U120" s="88"/>
      <c r="V120" s="131" t="str">
        <f>'Dépenses BP 2017'!P127</f>
        <v>/</v>
      </c>
      <c r="W120" s="53"/>
      <c r="X120" s="62">
        <f>SUM(X121:X122)</f>
        <v>95.699679727274685</v>
      </c>
      <c r="Y120" s="522"/>
      <c r="Z120" s="62">
        <f>SUM(Z121:Z122)</f>
        <v>45.713469538092475</v>
      </c>
      <c r="AA120" s="522"/>
      <c r="AB120" s="62">
        <f>SUM(AB121:AB122)</f>
        <v>49.859025004478937</v>
      </c>
      <c r="AC120" s="62"/>
      <c r="AD120" s="62"/>
      <c r="AE120" s="522"/>
      <c r="AF120" s="53"/>
      <c r="AO120" s="205"/>
      <c r="AQ120" s="62">
        <f>SUM(AQ121:AQ122)</f>
        <v>163.19725035863172</v>
      </c>
      <c r="AR120" s="93"/>
      <c r="AS120" s="62">
        <f>SUM(AS121:AS122)</f>
        <v>23.43102672235359</v>
      </c>
      <c r="AT120" s="93"/>
      <c r="AU120" s="62">
        <f>'Dépenses BP 2017'!B127</f>
        <v>115.72782868012081</v>
      </c>
      <c r="AV120" s="93"/>
      <c r="AW120" s="62">
        <f>'Dépenses BP 2017'!E127</f>
        <v>0</v>
      </c>
      <c r="AX120" s="93"/>
      <c r="AY120" s="62">
        <f>'Dépenses BP 2017'!G127</f>
        <v>115.72782868012081</v>
      </c>
      <c r="AZ120" s="93"/>
      <c r="BA120" s="62" t="str">
        <f>'Dépenses BP 2017'!I127</f>
        <v>/</v>
      </c>
      <c r="BB120" s="58">
        <f t="shared" si="3"/>
        <v>70.900448400864491</v>
      </c>
      <c r="BC120" s="211"/>
      <c r="BD120" s="73">
        <f>'Dépenses BP 2017'!Q127</f>
        <v>299.06239112397543</v>
      </c>
      <c r="BE120" s="88">
        <f>'Dépenses BP 2017'!R127</f>
        <v>0</v>
      </c>
      <c r="BF120" s="88" t="str">
        <f>'Dépenses BP 2017'!S127</f>
        <v>/</v>
      </c>
      <c r="BG120" s="211"/>
      <c r="BH120" s="73">
        <f>'Dépenses BP 2017'!T127</f>
        <v>1513.9419492189622</v>
      </c>
      <c r="BI120" s="88">
        <f>'Dépenses BP 2017'!U127</f>
        <v>0</v>
      </c>
      <c r="BJ120" s="73"/>
    </row>
    <row r="121" spans="1:62" s="50" customFormat="1">
      <c r="A121" s="1584" t="str">
        <f>'Dépenses BP 2017'!A128</f>
        <v>Dot Amort s/immo</v>
      </c>
      <c r="B121" s="489">
        <f>'Dépenses BP 2017'!BJ128*C121</f>
        <v>22.643284723748732</v>
      </c>
      <c r="C121" s="494">
        <f>$C$6/$AG$6</f>
        <v>0.11321642361874365</v>
      </c>
      <c r="D121" s="489">
        <f>'Dépenses BP 2017'!BJ128*E121</f>
        <v>41.676249239217853</v>
      </c>
      <c r="E121" s="494">
        <f>$E$6/$AG$6</f>
        <v>0.20838124619608928</v>
      </c>
      <c r="F121" s="489">
        <f>'Dépenses BP 2017'!BJ128*G121</f>
        <v>22.483677163523229</v>
      </c>
      <c r="G121" s="494">
        <f>$G$6/$AG$6</f>
        <v>0.11241838581761615</v>
      </c>
      <c r="H121" s="495"/>
      <c r="I121" s="495"/>
      <c r="J121" s="489">
        <f>'Dépenses BP 2017'!BJ128*K121</f>
        <v>6.1980714569788029</v>
      </c>
      <c r="K121" s="494">
        <f>$K$6/$AG$6</f>
        <v>3.0990357284894014E-2</v>
      </c>
      <c r="L121" s="489">
        <f>'Dépenses BP 2017'!BJ128*M121</f>
        <v>4.916653854608338</v>
      </c>
      <c r="M121" s="494">
        <f>$M$6/$AG$6</f>
        <v>2.4583269273041691E-2</v>
      </c>
      <c r="N121" s="506">
        <f>'Dépenses BP 2017'!BJ128*O121</f>
        <v>11.77958682291848</v>
      </c>
      <c r="O121" s="507">
        <f>$O$6/$AG$6</f>
        <v>5.8897934114592404E-2</v>
      </c>
      <c r="P121" s="508">
        <f>'Dépenses BP 2017'!BJ128*Q121</f>
        <v>2.8207705277763306</v>
      </c>
      <c r="Q121" s="510">
        <f>$Q$6/$AG$6</f>
        <v>1.4103852638881654E-2</v>
      </c>
      <c r="R121" s="513">
        <f>'Dépenses BP 2017'!BJ128*S121</f>
        <v>0</v>
      </c>
      <c r="S121" s="514">
        <f>$S$6/$AG$6</f>
        <v>0</v>
      </c>
      <c r="T121" s="504">
        <f>'Dépenses BP 2017'!AQ128</f>
        <v>150.61603094632449</v>
      </c>
      <c r="U121" s="503" t="e">
        <f>'Dépenses BP 2017'!#REF!</f>
        <v>#REF!</v>
      </c>
      <c r="V121" s="505"/>
      <c r="W121" s="60"/>
      <c r="X121" s="520">
        <f>'Dépenses BP 2017'!BJ128*Y121</f>
        <v>2.6583244368687411</v>
      </c>
      <c r="Y121" s="521">
        <f>$Y$6/$AG$6</f>
        <v>1.3291622184343706E-2</v>
      </c>
      <c r="Z121" s="520">
        <f>'Dépenses BP 2017'!BJ128*AA121</f>
        <v>1.2698185982803467</v>
      </c>
      <c r="AA121" s="521">
        <f>$AA$6/$AG$6</f>
        <v>6.349092991401733E-3</v>
      </c>
      <c r="AB121" s="518">
        <f>'Dépenses BP 2017'!BJ128*AC121</f>
        <v>1.3849729167910816</v>
      </c>
      <c r="AC121" s="593">
        <f>$AC$6/$AG$6</f>
        <v>6.9248645839554077E-3</v>
      </c>
      <c r="AD121" s="597"/>
      <c r="AE121" s="597"/>
      <c r="AF121" s="60"/>
      <c r="AO121" s="205"/>
      <c r="AQ121" s="63">
        <f>'Dépenses BP 2017'!BJ128*AR121</f>
        <v>4.5332569544064372</v>
      </c>
      <c r="AR121" s="94">
        <f>$AR$6/$AG$6</f>
        <v>2.2666284772032187E-2</v>
      </c>
      <c r="AS121" s="63">
        <f>'Dépenses BP 2017'!BJ128*AT121</f>
        <v>0.65086185339871083</v>
      </c>
      <c r="AT121" s="94">
        <f>$AT$6/$AG$6</f>
        <v>3.2543092669935539E-3</v>
      </c>
      <c r="AU121" s="63">
        <f>'Dépenses BP 2017'!B128</f>
        <v>3.2146619077811334</v>
      </c>
      <c r="AV121" s="94">
        <f>'Dépenses BP 2017'!C128</f>
        <v>1.6073309538905668E-2</v>
      </c>
      <c r="AW121" s="63">
        <f>'Dépenses BP 2017'!E128</f>
        <v>0</v>
      </c>
      <c r="AX121" s="94">
        <f>'Dépenses BP 2017'!F128</f>
        <v>0</v>
      </c>
      <c r="AY121" s="63">
        <f>'Dépenses BP 2017'!G128</f>
        <v>3.2146619077811334</v>
      </c>
      <c r="AZ121" s="94">
        <f>'Dépenses BP 2017'!H128</f>
        <v>1.6073309538905668E-2</v>
      </c>
      <c r="BA121" s="63"/>
      <c r="BB121" s="58">
        <f t="shared" si="3"/>
        <v>1.9694569000240145</v>
      </c>
      <c r="BC121" s="211"/>
      <c r="BD121" s="79">
        <f>'Dépenses BP 2017'!Q128</f>
        <v>8.3072886423326509</v>
      </c>
      <c r="BE121" s="89">
        <f>'Dépenses BP 2017'!R128</f>
        <v>4.1536443211663256E-2</v>
      </c>
      <c r="BF121" s="79"/>
      <c r="BG121" s="211"/>
      <c r="BH121" s="84">
        <f>'Dépenses BP 2017'!T128</f>
        <v>42.053943033860065</v>
      </c>
      <c r="BI121" s="87">
        <f>'Dépenses BP 2017'!U128</f>
        <v>0.21026971516930029</v>
      </c>
      <c r="BJ121" s="84"/>
    </row>
    <row r="122" spans="1:62" s="1" customFormat="1">
      <c r="A122" s="1584" t="str">
        <f>'Dépenses BP 2017'!A130</f>
        <v>Dot prov ind fin de c</v>
      </c>
      <c r="B122" s="489">
        <f>'Dépenses BP 2017'!BJ130*C122</f>
        <v>792.51496533120553</v>
      </c>
      <c r="C122" s="494">
        <f>$C$6/$AG$6</f>
        <v>0.11321642361874365</v>
      </c>
      <c r="D122" s="489">
        <f>'Dépenses BP 2017'!BJ130*E122</f>
        <v>1458.668723372625</v>
      </c>
      <c r="E122" s="494">
        <f>$E$6/$AG$6</f>
        <v>0.20838124619608928</v>
      </c>
      <c r="F122" s="489">
        <f>'Dépenses BP 2017'!BJ130*G122</f>
        <v>786.92870072331311</v>
      </c>
      <c r="G122" s="494">
        <f>$G$6/$AG$6</f>
        <v>0.11241838581761615</v>
      </c>
      <c r="H122" s="495"/>
      <c r="I122" s="495"/>
      <c r="J122" s="489">
        <f>'Dépenses BP 2017'!BJ130*K122</f>
        <v>216.93250099425811</v>
      </c>
      <c r="K122" s="494">
        <f>$K$6/$AG$6</f>
        <v>3.0990357284894014E-2</v>
      </c>
      <c r="L122" s="489">
        <f>'Dépenses BP 2017'!BJ130*M122</f>
        <v>172.08288491129184</v>
      </c>
      <c r="M122" s="494">
        <f>$M$6/$AG$6</f>
        <v>2.4583269273041691E-2</v>
      </c>
      <c r="N122" s="506">
        <f>'Dépenses BP 2017'!BJ130*O122</f>
        <v>412.28553880214685</v>
      </c>
      <c r="O122" s="507">
        <f>$O$6/$AG$6</f>
        <v>5.8897934114592404E-2</v>
      </c>
      <c r="P122" s="508">
        <f>'Dépenses BP 2017'!BJ130*Q122</f>
        <v>98.726968472171578</v>
      </c>
      <c r="Q122" s="510">
        <f>$Q$6/$AG$6</f>
        <v>1.4103852638881654E-2</v>
      </c>
      <c r="R122" s="513">
        <f>'Dépenses BP 2017'!BJ130*S122</f>
        <v>0</v>
      </c>
      <c r="S122" s="514">
        <f>$S$6/$AG$6</f>
        <v>0</v>
      </c>
      <c r="T122" s="504">
        <f>'Dépenses BP 2017'!AQ130</f>
        <v>5271.561083121358</v>
      </c>
      <c r="U122" s="503" t="e">
        <f>'Dépenses BP 2017'!#REF!</f>
        <v>#REF!</v>
      </c>
      <c r="V122" s="505"/>
      <c r="W122" s="60"/>
      <c r="X122" s="520">
        <f>'Dépenses BP 2017'!BJ130*Y122</f>
        <v>93.041355290405946</v>
      </c>
      <c r="Y122" s="521">
        <f>$Y$6/$AG$6</f>
        <v>1.3291622184343706E-2</v>
      </c>
      <c r="Z122" s="520">
        <f>'Dépenses BP 2017'!BJ130*AA122</f>
        <v>44.44365093981213</v>
      </c>
      <c r="AA122" s="521">
        <f>$AA$6/$AG$6</f>
        <v>6.349092991401733E-3</v>
      </c>
      <c r="AB122" s="518">
        <f>'Dépenses BP 2017'!BJ130*AC122</f>
        <v>48.474052087687852</v>
      </c>
      <c r="AC122" s="593">
        <f>$AC$6/$AG$6</f>
        <v>6.9248645839554077E-3</v>
      </c>
      <c r="AD122" s="597"/>
      <c r="AE122" s="597"/>
      <c r="AF122" s="60"/>
      <c r="AO122" s="205"/>
      <c r="AQ122" s="63">
        <f>'Dépenses BP 2017'!BJ130*AR122</f>
        <v>158.66399340422529</v>
      </c>
      <c r="AR122" s="94">
        <f>$AR$6/$AG$6</f>
        <v>2.2666284772032187E-2</v>
      </c>
      <c r="AS122" s="63">
        <f>'Dépenses BP 2017'!BJ130*AT122</f>
        <v>22.780164868954877</v>
      </c>
      <c r="AT122" s="94">
        <f>$AT$6/$AG$6</f>
        <v>3.2543092669935539E-3</v>
      </c>
      <c r="AU122" s="63">
        <f>'Dépenses BP 2017'!B130</f>
        <v>112.51316677233967</v>
      </c>
      <c r="AV122" s="94">
        <f>'Dépenses BP 2017'!C130</f>
        <v>1.6073309538905668E-2</v>
      </c>
      <c r="AW122" s="63">
        <f>'Dépenses BP 2017'!E130</f>
        <v>0</v>
      </c>
      <c r="AX122" s="94">
        <f>'Dépenses BP 2017'!F130</f>
        <v>0</v>
      </c>
      <c r="AY122" s="63">
        <f>'Dépenses BP 2017'!G130</f>
        <v>112.51316677233967</v>
      </c>
      <c r="AZ122" s="94">
        <f>'Dépenses BP 2017'!H130</f>
        <v>1.6073309538905668E-2</v>
      </c>
      <c r="BA122" s="63"/>
      <c r="BB122" s="58">
        <f t="shared" si="3"/>
        <v>68.930991500840491</v>
      </c>
      <c r="BC122" s="211"/>
      <c r="BD122" s="79">
        <f>'Dépenses BP 2017'!Q130</f>
        <v>290.75510248164278</v>
      </c>
      <c r="BE122" s="89">
        <f>'Dépenses BP 2017'!R130</f>
        <v>4.1536443211663256E-2</v>
      </c>
      <c r="BF122" s="79"/>
      <c r="BG122" s="211"/>
      <c r="BH122" s="84">
        <f>'Dépenses BP 2017'!T130</f>
        <v>1471.8880061851021</v>
      </c>
      <c r="BI122" s="87">
        <f>'Dépenses BP 2017'!U130</f>
        <v>0.21026971516930029</v>
      </c>
      <c r="BJ122" s="84"/>
    </row>
    <row r="123" spans="1:62">
      <c r="A123" s="68" t="str">
        <f>'Dépenses BP 2017'!A131</f>
        <v>TOTAL</v>
      </c>
      <c r="B123" s="496" t="e">
        <f>B120+B117+B87+B64+B59+B55+B6</f>
        <v>#REF!</v>
      </c>
      <c r="C123" s="496"/>
      <c r="D123" s="496">
        <f>D120+D117+D87+D64+D59+D55+D6</f>
        <v>197446.00972970619</v>
      </c>
      <c r="E123" s="496"/>
      <c r="F123" s="496">
        <f>F120+F117+F87+F64+F59+F55+F6</f>
        <v>39307.746608198271</v>
      </c>
      <c r="G123" s="496"/>
      <c r="H123" s="497">
        <f>H120+H117+H87+H64+H59+H55+H6</f>
        <v>0</v>
      </c>
      <c r="I123" s="497"/>
      <c r="J123" s="496">
        <f>J120+J117+J87+J64+J59+J55+J6</f>
        <v>34452.886593351213</v>
      </c>
      <c r="K123" s="496"/>
      <c r="L123" s="496">
        <f>L120+L117+L87+L64+L59+L55+L6</f>
        <v>28044.415886158971</v>
      </c>
      <c r="M123" s="496"/>
      <c r="N123" s="496">
        <f>N120+N117+N87+N64+N59+N55+N6</f>
        <v>49004.986891838504</v>
      </c>
      <c r="O123" s="498"/>
      <c r="P123" s="496">
        <f>P120+P117+P87+P64+P59+P55+P6</f>
        <v>11452.504354709967</v>
      </c>
      <c r="Q123" s="498"/>
      <c r="R123" s="496">
        <f>R120+R117+R87+R64+R59+R55+R6</f>
        <v>0</v>
      </c>
      <c r="S123" s="498"/>
      <c r="T123" s="496">
        <f>'Dépenses BP 2017'!AQ131</f>
        <v>643322.86318597791</v>
      </c>
      <c r="U123" s="499" t="str">
        <f>'Dépenses BP 2017'!O131</f>
        <v>/</v>
      </c>
      <c r="V123" s="500" t="str">
        <f>'Dépenses BP 2017'!P131</f>
        <v>/</v>
      </c>
      <c r="W123" s="55"/>
      <c r="X123" s="516">
        <f>X120+X117+X87+X64+X59+X55+X6</f>
        <v>12363.949348842085</v>
      </c>
      <c r="Y123" s="517"/>
      <c r="Z123" s="516">
        <f>Z120+Z117+Z87+Z64+Z59+Z55+Z6</f>
        <v>5951.1483658887028</v>
      </c>
      <c r="AA123" s="517" t="s">
        <v>41</v>
      </c>
      <c r="AB123" s="516">
        <f>AB120+AB117+AB87+AB64+AB59+AB55+AB6</f>
        <v>6960.2766710169672</v>
      </c>
      <c r="AC123" s="595" t="s">
        <v>41</v>
      </c>
      <c r="AD123" s="516">
        <f>AD120+AD117+AD87+AD64+AD59+AD55+AD6</f>
        <v>40787.35068281163</v>
      </c>
      <c r="AE123" s="595" t="s">
        <v>41</v>
      </c>
      <c r="AF123" s="55"/>
      <c r="AO123" s="205"/>
      <c r="AQ123" s="64" t="e">
        <f>AQ120+AQ117+AQ87+AQ64+AQ59+AQ55+AQ6</f>
        <v>#DIV/0!</v>
      </c>
      <c r="AR123" s="65" t="s">
        <v>41</v>
      </c>
      <c r="AS123" s="64" t="e">
        <f>AS120+AS117+AS87+AS64+AS59+AS55+AS6</f>
        <v>#DIV/0!</v>
      </c>
      <c r="AT123" s="65" t="s">
        <v>41</v>
      </c>
      <c r="AU123" s="64">
        <f>'Dépenses BP 2017'!B131</f>
        <v>16899.485103534418</v>
      </c>
      <c r="AV123" s="65" t="str">
        <f>'Dépenses BP 2017'!C131</f>
        <v>/</v>
      </c>
      <c r="AW123" s="64">
        <f>'Dépenses BP 2017'!E131</f>
        <v>0</v>
      </c>
      <c r="AX123" s="65" t="str">
        <f>'Dépenses BP 2017'!F131</f>
        <v>/</v>
      </c>
      <c r="AY123" s="64">
        <f>'Dépenses BP 2017'!G131</f>
        <v>16899.485103534418</v>
      </c>
      <c r="AZ123" s="65" t="str">
        <f>'Dépenses BP 2017'!H131</f>
        <v>/</v>
      </c>
      <c r="BA123" s="65" t="str">
        <f>'Dépenses BP 2017'!I131</f>
        <v>/</v>
      </c>
      <c r="BB123" s="59"/>
      <c r="BC123" s="55"/>
      <c r="BD123" s="80">
        <f>'Dépenses BP 2017'!Q131</f>
        <v>40525.490629325446</v>
      </c>
      <c r="BE123" s="81" t="str">
        <f>'Dépenses BP 2017'!R131</f>
        <v>/</v>
      </c>
      <c r="BF123" s="81" t="str">
        <f>'Dépenses BP 2017'!S131</f>
        <v>/</v>
      </c>
      <c r="BG123" s="55"/>
      <c r="BH123" s="85">
        <f>'Dépenses BP 2017'!T131</f>
        <v>200267.24009837833</v>
      </c>
      <c r="BI123" s="85" t="str">
        <f>'Dépenses BP 2017'!U131</f>
        <v>/</v>
      </c>
      <c r="BJ123" s="86" t="str">
        <f>'Dépenses BP 2017'!V131</f>
        <v>/</v>
      </c>
    </row>
    <row r="124" spans="1:62">
      <c r="Q124" s="91"/>
      <c r="R124" s="91"/>
      <c r="S124" s="91"/>
      <c r="AQ124">
        <v>27000</v>
      </c>
      <c r="AS124" s="205" t="e">
        <f>AS123-200</f>
        <v>#DIV/0!</v>
      </c>
    </row>
    <row r="125" spans="1:62">
      <c r="F125" s="205"/>
      <c r="G125" s="205"/>
      <c r="T125" s="205"/>
      <c r="X125">
        <f>189920.47*6%</f>
        <v>11395.2282</v>
      </c>
      <c r="Z125">
        <f>189920.47*3%</f>
        <v>5697.6140999999998</v>
      </c>
      <c r="AB125">
        <v>7336</v>
      </c>
      <c r="AQ125" s="205" t="e">
        <f>28300-AQ123</f>
        <v>#DIV/0!</v>
      </c>
      <c r="AY125" s="205"/>
      <c r="BH125" s="210"/>
    </row>
    <row r="126" spans="1:62">
      <c r="G126" s="205"/>
    </row>
    <row r="129" spans="6:22">
      <c r="F129" s="276"/>
      <c r="G129" s="274"/>
    </row>
    <row r="130" spans="6:22">
      <c r="F130" s="276"/>
      <c r="G130" s="274"/>
    </row>
    <row r="131" spans="6:22">
      <c r="F131" s="275"/>
      <c r="G131" s="283"/>
    </row>
    <row r="133" spans="6:22">
      <c r="F133" s="210"/>
      <c r="G133" s="282"/>
      <c r="H133"/>
      <c r="I133"/>
      <c r="V133"/>
    </row>
    <row r="134" spans="6:22">
      <c r="F134" s="276"/>
      <c r="G134" s="282"/>
      <c r="H134"/>
      <c r="I134"/>
      <c r="V134"/>
    </row>
    <row r="135" spans="6:22">
      <c r="H135"/>
      <c r="I135"/>
      <c r="V135"/>
    </row>
  </sheetData>
  <mergeCells count="26">
    <mergeCell ref="AD5:AE5"/>
    <mergeCell ref="X3:AE4"/>
    <mergeCell ref="BD3:BF4"/>
    <mergeCell ref="BH3:BJ5"/>
    <mergeCell ref="AQ5:AR5"/>
    <mergeCell ref="AS5:AT5"/>
    <mergeCell ref="AU5:AV5"/>
    <mergeCell ref="AW5:AX5"/>
    <mergeCell ref="BD5:BF5"/>
    <mergeCell ref="AY5:BA5"/>
    <mergeCell ref="B5:C5"/>
    <mergeCell ref="A3:A5"/>
    <mergeCell ref="AQ3:AV4"/>
    <mergeCell ref="B3:V4"/>
    <mergeCell ref="P5:Q5"/>
    <mergeCell ref="R5:S5"/>
    <mergeCell ref="T5:V5"/>
    <mergeCell ref="D5:E5"/>
    <mergeCell ref="F5:G5"/>
    <mergeCell ref="H5:I5"/>
    <mergeCell ref="J5:K5"/>
    <mergeCell ref="L5:M5"/>
    <mergeCell ref="N5:O5"/>
    <mergeCell ref="X5:Y5"/>
    <mergeCell ref="Z5:AA5"/>
    <mergeCell ref="AB5:AC5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80" zoomScaleNormal="80" workbookViewId="0">
      <selection activeCell="T26" sqref="T26"/>
    </sheetView>
  </sheetViews>
  <sheetFormatPr baseColWidth="10" defaultColWidth="11.42578125" defaultRowHeight="12.75"/>
  <cols>
    <col min="1" max="1" width="38.42578125" customWidth="1"/>
    <col min="2" max="3" width="12.7109375" hidden="1" customWidth="1"/>
    <col min="4" max="4" width="12" hidden="1" customWidth="1"/>
    <col min="5" max="5" width="1.85546875" hidden="1" customWidth="1"/>
    <col min="6" max="6" width="12.7109375" bestFit="1" customWidth="1"/>
    <col min="7" max="8" width="10" customWidth="1"/>
    <col min="9" max="9" width="9.28515625" bestFit="1" customWidth="1"/>
    <col min="10" max="10" width="1.85546875" customWidth="1"/>
    <col min="11" max="13" width="11.5703125" customWidth="1"/>
    <col min="14" max="14" width="10.42578125" style="135" hidden="1" customWidth="1"/>
    <col min="15" max="15" width="11.42578125" customWidth="1"/>
    <col min="16" max="19" width="11.5703125" customWidth="1"/>
    <col min="20" max="20" width="12" customWidth="1"/>
    <col min="21" max="21" width="2" customWidth="1"/>
    <col min="22" max="22" width="12.7109375" hidden="1" customWidth="1"/>
    <col min="23" max="23" width="1.85546875" hidden="1" customWidth="1"/>
    <col min="24" max="24" width="14.28515625" bestFit="1" customWidth="1"/>
  </cols>
  <sheetData>
    <row r="1" spans="1:24">
      <c r="A1" t="e">
        <f>'Dépenses BP 2017'!#REF!</f>
        <v>#REF!</v>
      </c>
      <c r="R1" s="123"/>
      <c r="S1" s="123"/>
    </row>
    <row r="2" spans="1:24">
      <c r="R2" s="123"/>
      <c r="S2" s="123"/>
    </row>
    <row r="3" spans="1:24">
      <c r="A3" s="1968" t="e">
        <f>'Dépenses BP 2017'!#REF!</f>
        <v>#REF!</v>
      </c>
      <c r="B3" s="1979" t="str">
        <f>'Dépenses BP 2017'!B5</f>
        <v>Appel à projet GPEC-T</v>
      </c>
      <c r="C3" s="1979"/>
      <c r="D3" s="1979"/>
      <c r="E3" s="51"/>
      <c r="F3" s="1991" t="str">
        <f>'Dépenses BP 2017'!K5</f>
        <v>Anticipation des mutations économiques</v>
      </c>
      <c r="G3" s="1992"/>
      <c r="H3" s="1992"/>
      <c r="I3" s="1992"/>
      <c r="J3" s="51"/>
      <c r="K3" s="2044" t="str">
        <f>'Dépenses BP 2017'!N5</f>
        <v>Développement de l'emploi local</v>
      </c>
      <c r="L3" s="2044"/>
      <c r="M3" s="2044"/>
      <c r="N3" s="2044"/>
      <c r="O3" s="2044"/>
      <c r="P3" s="2044"/>
      <c r="Q3" s="2044"/>
      <c r="R3" s="2044"/>
      <c r="S3" s="2044"/>
      <c r="T3" s="2044"/>
      <c r="U3" s="52"/>
      <c r="V3" s="1971" t="str">
        <f>'Dépenses BP 2017'!Q5</f>
        <v>XX</v>
      </c>
      <c r="W3" s="51"/>
      <c r="X3" s="1982" t="str">
        <f>'Dépenses BP 2017'!T5</f>
        <v>S/Total MdE 
Conv° Etat 70%-30%</v>
      </c>
    </row>
    <row r="4" spans="1:24">
      <c r="A4" s="1968"/>
      <c r="B4" s="1979"/>
      <c r="C4" s="1979"/>
      <c r="D4" s="1979"/>
      <c r="E4" s="51"/>
      <c r="F4" s="1993"/>
      <c r="G4" s="1994"/>
      <c r="H4" s="1994"/>
      <c r="I4" s="1994"/>
      <c r="J4" s="51"/>
      <c r="K4" s="2044"/>
      <c r="L4" s="2044"/>
      <c r="M4" s="2044"/>
      <c r="N4" s="2044"/>
      <c r="O4" s="2044"/>
      <c r="P4" s="2044"/>
      <c r="Q4" s="2044"/>
      <c r="R4" s="2044"/>
      <c r="S4" s="2044"/>
      <c r="T4" s="2044"/>
      <c r="U4" s="52"/>
      <c r="V4" s="1971"/>
      <c r="W4" s="51"/>
      <c r="X4" s="1982"/>
    </row>
    <row r="5" spans="1:24" ht="76.5">
      <c r="A5" s="1968"/>
      <c r="B5" s="1733" t="s">
        <v>348</v>
      </c>
      <c r="C5" s="1733" t="s">
        <v>349</v>
      </c>
      <c r="D5" s="1733" t="s">
        <v>266</v>
      </c>
      <c r="E5" s="56"/>
      <c r="F5" s="1734" t="s">
        <v>350</v>
      </c>
      <c r="G5" s="1736" t="s">
        <v>351</v>
      </c>
      <c r="H5" s="1736" t="s">
        <v>349</v>
      </c>
      <c r="I5" s="1735" t="s">
        <v>274</v>
      </c>
      <c r="J5" s="56"/>
      <c r="K5" s="1731" t="s">
        <v>267</v>
      </c>
      <c r="L5" s="1731" t="s">
        <v>268</v>
      </c>
      <c r="M5" s="1731" t="s">
        <v>352</v>
      </c>
      <c r="N5" s="136" t="s">
        <v>270</v>
      </c>
      <c r="O5" s="1737" t="s">
        <v>353</v>
      </c>
      <c r="P5" s="1731" t="s">
        <v>354</v>
      </c>
      <c r="Q5" s="1731" t="s">
        <v>355</v>
      </c>
      <c r="R5" s="1731" t="s">
        <v>159</v>
      </c>
      <c r="S5" s="1731" t="s">
        <v>277</v>
      </c>
      <c r="T5" s="1731" t="s">
        <v>356</v>
      </c>
      <c r="U5" s="56"/>
      <c r="V5" s="1732" t="s">
        <v>277</v>
      </c>
      <c r="W5" s="52"/>
      <c r="X5" s="1982"/>
    </row>
    <row r="6" spans="1:24">
      <c r="A6" s="66" t="str">
        <f>'Recettes BP 2017'!A6</f>
        <v>ETAT/DIRECCTE</v>
      </c>
      <c r="B6" s="62">
        <f>SUM(B7:B13)</f>
        <v>0</v>
      </c>
      <c r="C6" s="62">
        <f>SUM(C7:C13)</f>
        <v>0</v>
      </c>
      <c r="D6" s="62">
        <f>SUM(B6:C6)</f>
        <v>0</v>
      </c>
      <c r="E6" s="57"/>
      <c r="F6" s="62">
        <f>SUM(F7:F13)</f>
        <v>0</v>
      </c>
      <c r="G6" s="62">
        <f>SUM(G7:G13)</f>
        <v>8438.3224569851918</v>
      </c>
      <c r="H6" s="62">
        <f>SUM(H7:H13)</f>
        <v>0</v>
      </c>
      <c r="I6" s="62">
        <f>SUM(F6:H6)</f>
        <v>8438.3224569851918</v>
      </c>
      <c r="J6" s="53"/>
      <c r="K6" s="62">
        <f t="shared" ref="K6:S6" si="0">SUM(K7:K13)</f>
        <v>0</v>
      </c>
      <c r="L6" s="62">
        <f t="shared" si="0"/>
        <v>0</v>
      </c>
      <c r="M6" s="62">
        <f t="shared" si="0"/>
        <v>36285.606570708303</v>
      </c>
      <c r="N6" s="137">
        <f t="shared" si="0"/>
        <v>0</v>
      </c>
      <c r="O6" s="62">
        <f t="shared" si="0"/>
        <v>0</v>
      </c>
      <c r="P6" s="62">
        <f t="shared" si="0"/>
        <v>0</v>
      </c>
      <c r="Q6" s="62">
        <f t="shared" si="0"/>
        <v>0</v>
      </c>
      <c r="R6" s="62">
        <f t="shared" si="0"/>
        <v>0</v>
      </c>
      <c r="S6" s="62">
        <f t="shared" si="0"/>
        <v>10721.620971472934</v>
      </c>
      <c r="T6" s="73">
        <f>SUM(K6:S6)</f>
        <v>47007.227542181237</v>
      </c>
      <c r="U6" s="53"/>
      <c r="V6" s="62">
        <f>SUM(V7:V13)</f>
        <v>0</v>
      </c>
      <c r="W6" s="53"/>
      <c r="X6" s="73">
        <f>'Recettes BP 2017'!H6</f>
        <v>86107.37</v>
      </c>
    </row>
    <row r="7" spans="1:24">
      <c r="A7" s="1584" t="str">
        <f>'Recettes BP 2017'!A7</f>
        <v>CPO MEF – Fonctionnement</v>
      </c>
      <c r="B7" s="61"/>
      <c r="C7" s="61"/>
      <c r="D7" s="61">
        <f>SUM(B7:C7)</f>
        <v>0</v>
      </c>
      <c r="E7" s="58"/>
      <c r="F7" s="69">
        <f>'Ss-bgt MDE - Synthèse'!D23</f>
        <v>0</v>
      </c>
      <c r="G7" s="69">
        <f>'Ss-bgt MDE - Synthèse'!E23</f>
        <v>8438.3224569851918</v>
      </c>
      <c r="H7" s="69">
        <f>'Ss-bgt MDE - Synthèse'!C23</f>
        <v>0</v>
      </c>
      <c r="I7" s="69">
        <f>SUM(F7:H7)</f>
        <v>8438.3224569851918</v>
      </c>
      <c r="J7" s="54"/>
      <c r="K7" s="132"/>
      <c r="L7" s="132">
        <f>'Ss-bgt MDE - Synthèse'!H23</f>
        <v>0</v>
      </c>
      <c r="M7" s="132">
        <f>'Ss-bgt MDE - Synthèse'!I23</f>
        <v>36285.606570708303</v>
      </c>
      <c r="N7" s="132"/>
      <c r="O7" s="132">
        <f>'Ss-bgt MDE - Synthèse'!J23</f>
        <v>0</v>
      </c>
      <c r="P7" s="132">
        <f>'Ss-bgt MDE - Synthèse'!K23</f>
        <v>0</v>
      </c>
      <c r="Q7" s="132">
        <f>'Ss-bgt MDE - Synthèse'!L23</f>
        <v>0</v>
      </c>
      <c r="R7" s="132">
        <f>'Ss-bgt MDE - Synthèse'!M23</f>
        <v>0</v>
      </c>
      <c r="S7" s="132">
        <f>'Ss-bgt MDE - Synthèse'!N23</f>
        <v>10721.620971472934</v>
      </c>
      <c r="T7" s="74">
        <f>SUM(K7:S7)</f>
        <v>47007.227542181237</v>
      </c>
      <c r="U7" s="54"/>
      <c r="V7" s="78"/>
      <c r="W7" s="54"/>
      <c r="X7" s="82">
        <f>'Recettes BP 2017'!H7</f>
        <v>71727.81</v>
      </c>
    </row>
    <row r="8" spans="1:24">
      <c r="A8" s="1584" t="e">
        <f>'Recettes BP 2017'!#REF!</f>
        <v>#REF!</v>
      </c>
      <c r="B8" s="61"/>
      <c r="C8" s="61"/>
      <c r="D8" s="61"/>
      <c r="E8" s="58"/>
      <c r="F8" s="69"/>
      <c r="G8" s="69"/>
      <c r="H8" s="69"/>
      <c r="I8" s="69"/>
      <c r="J8" s="54"/>
      <c r="K8" s="132"/>
      <c r="L8" s="132"/>
      <c r="M8" s="132"/>
      <c r="N8" s="138"/>
      <c r="O8" s="133"/>
      <c r="P8" s="133"/>
      <c r="Q8" s="133"/>
      <c r="R8" s="133"/>
      <c r="S8" s="133"/>
      <c r="T8" s="74"/>
      <c r="U8" s="54"/>
      <c r="V8" s="78"/>
      <c r="W8" s="54"/>
      <c r="X8" s="82" t="e">
        <f>'Recettes BP 2017'!#REF!</f>
        <v>#REF!</v>
      </c>
    </row>
    <row r="9" spans="1:24">
      <c r="A9" s="1584" t="str">
        <f>'Recettes BP 2017'!A9</f>
        <v>CPO ML - "socle"</v>
      </c>
      <c r="B9" s="61"/>
      <c r="C9" s="61"/>
      <c r="D9" s="61"/>
      <c r="E9" s="58"/>
      <c r="F9" s="69"/>
      <c r="G9" s="69"/>
      <c r="H9" s="69"/>
      <c r="I9" s="69"/>
      <c r="J9" s="54"/>
      <c r="K9" s="132"/>
      <c r="L9" s="132"/>
      <c r="M9" s="132"/>
      <c r="N9" s="138"/>
      <c r="O9" s="133"/>
      <c r="P9" s="133"/>
      <c r="Q9" s="133"/>
      <c r="R9" s="133"/>
      <c r="S9" s="133"/>
      <c r="T9" s="74"/>
      <c r="U9" s="54"/>
      <c r="V9" s="78"/>
      <c r="W9" s="54"/>
      <c r="X9" s="82"/>
    </row>
    <row r="10" spans="1:24">
      <c r="A10" s="1584" t="str">
        <f>'Recettes BP 2017'!A11</f>
        <v>Convention « Promotion de l'emploi »</v>
      </c>
      <c r="B10" s="61"/>
      <c r="C10" s="61"/>
      <c r="D10" s="61"/>
      <c r="E10" s="58"/>
      <c r="F10" s="69"/>
      <c r="G10" s="69"/>
      <c r="H10" s="69"/>
      <c r="I10" s="69"/>
      <c r="J10" s="54"/>
      <c r="K10" s="132"/>
      <c r="L10" s="132"/>
      <c r="M10" s="132"/>
      <c r="N10" s="138"/>
      <c r="O10" s="133"/>
      <c r="P10" s="133"/>
      <c r="Q10" s="133"/>
      <c r="R10" s="133"/>
      <c r="S10" s="133"/>
      <c r="T10" s="74"/>
      <c r="U10" s="54"/>
      <c r="V10" s="78"/>
      <c r="W10" s="54"/>
      <c r="X10" s="82"/>
    </row>
    <row r="11" spans="1:24">
      <c r="A11" s="1584" t="e">
        <f>'Recettes BP 2017'!#REF!</f>
        <v>#REF!</v>
      </c>
      <c r="B11" s="61"/>
      <c r="C11" s="61"/>
      <c r="D11" s="61"/>
      <c r="E11" s="58"/>
      <c r="F11" s="69"/>
      <c r="G11" s="69"/>
      <c r="H11" s="69"/>
      <c r="I11" s="69"/>
      <c r="J11" s="54"/>
      <c r="K11" s="132"/>
      <c r="L11" s="132"/>
      <c r="M11" s="132"/>
      <c r="N11" s="138"/>
      <c r="O11" s="133"/>
      <c r="P11" s="133"/>
      <c r="Q11" s="133"/>
      <c r="R11" s="133"/>
      <c r="S11" s="133"/>
      <c r="T11" s="74"/>
      <c r="U11" s="54"/>
      <c r="V11" s="78"/>
      <c r="W11" s="54"/>
      <c r="X11" s="82"/>
    </row>
    <row r="12" spans="1:24">
      <c r="A12" s="1584" t="str">
        <f>'Recettes BP 2017'!A13</f>
        <v>GPEC territoriale - EDEC</v>
      </c>
      <c r="B12" s="61"/>
      <c r="C12" s="61"/>
      <c r="D12" s="61"/>
      <c r="E12" s="58"/>
      <c r="F12" s="69"/>
      <c r="G12" s="69"/>
      <c r="H12" s="69"/>
      <c r="I12" s="69"/>
      <c r="J12" s="54"/>
      <c r="K12" s="132"/>
      <c r="L12" s="132"/>
      <c r="M12" s="132"/>
      <c r="N12" s="138"/>
      <c r="O12" s="133"/>
      <c r="P12" s="133"/>
      <c r="Q12" s="133"/>
      <c r="R12" s="133"/>
      <c r="S12" s="133"/>
      <c r="T12" s="74"/>
      <c r="U12" s="54"/>
      <c r="V12" s="78"/>
      <c r="W12" s="54"/>
      <c r="X12" s="82"/>
    </row>
    <row r="13" spans="1:24">
      <c r="A13" s="1584" t="str">
        <f>'Recettes BP 2017'!A14</f>
        <v>Emploi d'Avenir</v>
      </c>
      <c r="B13" s="61"/>
      <c r="C13" s="61"/>
      <c r="D13" s="61"/>
      <c r="E13" s="58"/>
      <c r="F13" s="69"/>
      <c r="G13" s="69"/>
      <c r="H13" s="69"/>
      <c r="I13" s="69"/>
      <c r="J13" s="54"/>
      <c r="K13" s="132"/>
      <c r="L13" s="132"/>
      <c r="M13" s="132"/>
      <c r="N13" s="138"/>
      <c r="O13" s="133"/>
      <c r="P13" s="133"/>
      <c r="Q13" s="133"/>
      <c r="R13" s="133"/>
      <c r="S13" s="133"/>
      <c r="T13" s="74"/>
      <c r="U13" s="54"/>
      <c r="V13" s="78"/>
      <c r="W13" s="54"/>
      <c r="X13" s="82"/>
    </row>
    <row r="14" spans="1:24">
      <c r="A14" s="67" t="str">
        <f>'Recettes BP 2017'!A19</f>
        <v>Fonds Social Européen</v>
      </c>
      <c r="B14" s="62"/>
      <c r="C14" s="62"/>
      <c r="D14" s="62"/>
      <c r="E14" s="57"/>
      <c r="F14" s="73"/>
      <c r="G14" s="73"/>
      <c r="H14" s="73"/>
      <c r="I14" s="62"/>
      <c r="J14" s="53"/>
      <c r="K14" s="73"/>
      <c r="L14" s="73"/>
      <c r="M14" s="73"/>
      <c r="N14" s="137"/>
      <c r="O14" s="73"/>
      <c r="P14" s="73"/>
      <c r="Q14" s="73"/>
      <c r="R14" s="73"/>
      <c r="S14" s="73"/>
      <c r="T14" s="73"/>
      <c r="U14" s="53"/>
      <c r="V14" s="73"/>
      <c r="W14" s="53"/>
      <c r="X14" s="73"/>
    </row>
    <row r="15" spans="1:24">
      <c r="A15" s="1584" t="str">
        <f>'Recettes BP 2017'!A20</f>
        <v>Projet FSE ML</v>
      </c>
      <c r="B15" s="61"/>
      <c r="C15" s="61"/>
      <c r="D15" s="61"/>
      <c r="E15" s="58"/>
      <c r="F15" s="69"/>
      <c r="G15" s="69"/>
      <c r="H15" s="69"/>
      <c r="I15" s="69"/>
      <c r="J15" s="54"/>
      <c r="K15" s="74"/>
      <c r="L15" s="74"/>
      <c r="M15" s="74"/>
      <c r="N15" s="139"/>
      <c r="O15" s="74"/>
      <c r="P15" s="74"/>
      <c r="Q15" s="74"/>
      <c r="R15" s="74"/>
      <c r="S15" s="74"/>
      <c r="T15" s="74"/>
      <c r="U15" s="54"/>
      <c r="V15" s="78"/>
      <c r="W15" s="54"/>
      <c r="X15" s="82"/>
    </row>
    <row r="16" spans="1:24">
      <c r="A16" s="1584"/>
      <c r="B16" s="61"/>
      <c r="C16" s="61"/>
      <c r="D16" s="61"/>
      <c r="E16" s="58"/>
      <c r="F16" s="69"/>
      <c r="G16" s="69"/>
      <c r="H16" s="69"/>
      <c r="I16" s="69"/>
      <c r="J16" s="54"/>
      <c r="K16" s="74"/>
      <c r="L16" s="74"/>
      <c r="M16" s="74"/>
      <c r="N16" s="139"/>
      <c r="O16" s="74"/>
      <c r="P16" s="74"/>
      <c r="Q16" s="74"/>
      <c r="R16" s="74"/>
      <c r="S16" s="74"/>
      <c r="T16" s="74"/>
      <c r="U16" s="54"/>
      <c r="V16" s="78"/>
      <c r="W16" s="54"/>
      <c r="X16" s="82"/>
    </row>
    <row r="17" spans="1:25">
      <c r="A17" s="67" t="str">
        <f>'Recettes BP 2017'!A24</f>
        <v xml:space="preserve">Région Poitou-Charentes </v>
      </c>
      <c r="B17" s="62"/>
      <c r="C17" s="62"/>
      <c r="D17" s="62"/>
      <c r="E17" s="57"/>
      <c r="F17" s="73"/>
      <c r="G17" s="73"/>
      <c r="H17" s="73"/>
      <c r="I17" s="62"/>
      <c r="J17" s="53"/>
      <c r="K17" s="73"/>
      <c r="L17" s="73"/>
      <c r="M17" s="73"/>
      <c r="N17" s="137"/>
      <c r="O17" s="73"/>
      <c r="P17" s="73"/>
      <c r="Q17" s="73">
        <f>SUM(Q18:Q24)</f>
        <v>20000</v>
      </c>
      <c r="R17" s="73">
        <f>SUM(R18:R24)</f>
        <v>0</v>
      </c>
      <c r="S17" s="73"/>
      <c r="T17" s="73">
        <f>SUM(K17:S17)</f>
        <v>20000</v>
      </c>
      <c r="U17" s="53"/>
      <c r="V17" s="73"/>
      <c r="W17" s="53"/>
      <c r="X17" s="73">
        <f>'Recettes BP 2017'!H24</f>
        <v>35450.54</v>
      </c>
    </row>
    <row r="18" spans="1:25">
      <c r="A18" s="1584" t="e">
        <f>'Recettes BP 2017'!#REF!</f>
        <v>#REF!</v>
      </c>
      <c r="B18" s="61"/>
      <c r="C18" s="61"/>
      <c r="D18" s="61"/>
      <c r="E18" s="58"/>
      <c r="F18" s="69"/>
      <c r="G18" s="69"/>
      <c r="H18" s="69"/>
      <c r="I18" s="69"/>
      <c r="J18" s="54"/>
      <c r="K18" s="74"/>
      <c r="L18" s="74"/>
      <c r="M18" s="74"/>
      <c r="N18" s="139"/>
      <c r="O18" s="74"/>
      <c r="P18" s="74"/>
      <c r="Q18" s="74"/>
      <c r="R18" s="74"/>
      <c r="S18" s="74"/>
      <c r="T18" s="74"/>
      <c r="U18" s="54"/>
      <c r="V18" s="78"/>
      <c r="W18" s="54"/>
      <c r="X18" s="82"/>
    </row>
    <row r="19" spans="1:25">
      <c r="A19" s="1584" t="str">
        <f>'Recettes BP 2017'!A25</f>
        <v xml:space="preserve">CRDD </v>
      </c>
      <c r="B19" s="61"/>
      <c r="C19" s="61"/>
      <c r="D19" s="61"/>
      <c r="E19" s="58"/>
      <c r="F19" s="69"/>
      <c r="G19" s="69"/>
      <c r="H19" s="69"/>
      <c r="I19" s="69"/>
      <c r="J19" s="54"/>
      <c r="K19" s="74"/>
      <c r="L19" s="74"/>
      <c r="M19" s="74"/>
      <c r="N19" s="139"/>
      <c r="O19" s="74"/>
      <c r="P19" s="74"/>
      <c r="Q19" s="74"/>
      <c r="R19" s="74">
        <f>'Ss-bgt MDE - Synthèse'!M28</f>
        <v>0</v>
      </c>
      <c r="S19" s="74"/>
      <c r="T19" s="74">
        <f>SUM(K19:R19)</f>
        <v>0</v>
      </c>
      <c r="U19" s="54"/>
      <c r="V19" s="78"/>
      <c r="W19" s="54"/>
      <c r="X19" s="82">
        <f>'Recettes BP 2017'!H25</f>
        <v>0</v>
      </c>
    </row>
    <row r="20" spans="1:25">
      <c r="A20" s="1584" t="str">
        <f>'Recettes BP 2017'!A29</f>
        <v>Convention Région ML</v>
      </c>
      <c r="B20" s="61"/>
      <c r="C20" s="61"/>
      <c r="D20" s="61"/>
      <c r="E20" s="58"/>
      <c r="F20" s="69"/>
      <c r="G20" s="69"/>
      <c r="H20" s="69"/>
      <c r="I20" s="69"/>
      <c r="J20" s="54"/>
      <c r="K20" s="74"/>
      <c r="L20" s="74"/>
      <c r="M20" s="74"/>
      <c r="N20" s="139"/>
      <c r="O20" s="74"/>
      <c r="P20" s="74"/>
      <c r="Q20" s="74"/>
      <c r="R20" s="74"/>
      <c r="S20" s="74"/>
      <c r="T20" s="74"/>
      <c r="U20" s="54"/>
      <c r="V20" s="78"/>
      <c r="W20" s="54"/>
      <c r="X20" s="82"/>
    </row>
    <row r="21" spans="1:25">
      <c r="A21" s="1584" t="e">
        <f>'Recettes BP 2017'!#REF!</f>
        <v>#REF!</v>
      </c>
      <c r="B21" s="61"/>
      <c r="C21" s="61"/>
      <c r="D21" s="61"/>
      <c r="E21" s="58"/>
      <c r="F21" s="69"/>
      <c r="G21" s="69"/>
      <c r="H21" s="69"/>
      <c r="I21" s="69"/>
      <c r="J21" s="54"/>
      <c r="K21" s="74"/>
      <c r="L21" s="74"/>
      <c r="M21" s="74"/>
      <c r="N21" s="139"/>
      <c r="O21" s="74"/>
      <c r="P21" s="74"/>
      <c r="Q21" s="74"/>
      <c r="R21" s="74"/>
      <c r="S21" s="74"/>
      <c r="T21" s="74"/>
      <c r="U21" s="54"/>
      <c r="V21" s="78"/>
      <c r="W21" s="54"/>
      <c r="X21" s="82"/>
    </row>
    <row r="22" spans="1:25">
      <c r="A22" s="1584" t="e">
        <f>'Recettes BP 2017'!#REF!</f>
        <v>#REF!</v>
      </c>
      <c r="B22" s="61"/>
      <c r="C22" s="61"/>
      <c r="D22" s="61"/>
      <c r="E22" s="58"/>
      <c r="F22" s="69"/>
      <c r="G22" s="69"/>
      <c r="H22" s="69"/>
      <c r="I22" s="69"/>
      <c r="J22" s="54"/>
      <c r="K22" s="74"/>
      <c r="L22" s="74"/>
      <c r="M22" s="74"/>
      <c r="N22" s="139"/>
      <c r="O22" s="74"/>
      <c r="P22" s="74"/>
      <c r="Q22" s="74"/>
      <c r="R22" s="74"/>
      <c r="S22" s="74"/>
      <c r="T22" s="74"/>
      <c r="U22" s="54"/>
      <c r="V22" s="78"/>
      <c r="W22" s="54"/>
      <c r="X22" s="82"/>
    </row>
    <row r="23" spans="1:25">
      <c r="A23" s="1584" t="e">
        <f>'Recettes BP 2017'!#REF!</f>
        <v>#REF!</v>
      </c>
      <c r="B23" s="61"/>
      <c r="C23" s="61"/>
      <c r="D23" s="61"/>
      <c r="E23" s="58"/>
      <c r="F23" s="69"/>
      <c r="G23" s="69"/>
      <c r="H23" s="69"/>
      <c r="I23" s="69"/>
      <c r="J23" s="54"/>
      <c r="K23" s="74"/>
      <c r="L23" s="74"/>
      <c r="M23" s="74"/>
      <c r="N23" s="139"/>
      <c r="O23" s="74"/>
      <c r="P23" s="74"/>
      <c r="Q23" s="74"/>
      <c r="R23" s="74"/>
      <c r="S23" s="74"/>
      <c r="T23" s="74"/>
      <c r="U23" s="54"/>
      <c r="V23" s="78"/>
      <c r="W23" s="54"/>
      <c r="X23" s="82"/>
    </row>
    <row r="24" spans="1:25">
      <c r="A24" s="1584" t="str">
        <f>'Recettes BP 2017'!A30</f>
        <v>Manifestation d'intérêt Régional</v>
      </c>
      <c r="B24" s="61"/>
      <c r="C24" s="61"/>
      <c r="D24" s="61"/>
      <c r="E24" s="58"/>
      <c r="F24" s="69"/>
      <c r="G24" s="69"/>
      <c r="H24" s="69"/>
      <c r="I24" s="69"/>
      <c r="J24" s="54"/>
      <c r="K24" s="74"/>
      <c r="L24" s="74"/>
      <c r="M24" s="74"/>
      <c r="N24" s="139"/>
      <c r="O24" s="74"/>
      <c r="P24" s="74"/>
      <c r="Q24" s="74">
        <v>20000</v>
      </c>
      <c r="R24" s="74"/>
      <c r="S24" s="74"/>
      <c r="T24" s="74">
        <f>SUM(K24:R24)</f>
        <v>20000</v>
      </c>
      <c r="U24" s="54"/>
      <c r="V24" s="78"/>
      <c r="W24" s="54"/>
      <c r="X24" s="82">
        <f>'Recettes BP 2017'!H30</f>
        <v>0</v>
      </c>
    </row>
    <row r="25" spans="1:25">
      <c r="A25" s="67" t="str">
        <f>'Recettes BP 2017'!A31</f>
        <v xml:space="preserve">Collectivités locales : </v>
      </c>
      <c r="B25" s="62">
        <f>'Ss-bgt MDE - Synthèse'!B24</f>
        <v>5019.9212300758882</v>
      </c>
      <c r="C25" s="62"/>
      <c r="D25" s="62">
        <f>SUM(B25:C25)</f>
        <v>5019.9212300758882</v>
      </c>
      <c r="E25" s="57"/>
      <c r="F25" s="131">
        <f>'Ss-bgt MDE - Synthèse'!D24</f>
        <v>1111.4143158019942</v>
      </c>
      <c r="G25" s="131">
        <f>'Ss-bgt MDE - Synthèse'!E24</f>
        <v>1138.2783904784174</v>
      </c>
      <c r="H25" s="131">
        <f>'Ss-bgt MDE - Synthèse'!C24</f>
        <v>0</v>
      </c>
      <c r="I25" s="131">
        <f>SUM(F25:H25)</f>
        <v>2249.6927062804116</v>
      </c>
      <c r="J25" s="53"/>
      <c r="K25" s="73">
        <f>'Ss-bgt MDE - Synthèse'!G24</f>
        <v>0</v>
      </c>
      <c r="L25" s="73">
        <f>'Ss-bgt MDE - Synthèse'!H24</f>
        <v>0</v>
      </c>
      <c r="M25" s="73">
        <f>'Ss-bgt MDE - Synthèse'!I24</f>
        <v>4894.707692836324</v>
      </c>
      <c r="N25" s="73"/>
      <c r="O25" s="73">
        <f>'Ss-bgt MDE - Synthèse'!J24</f>
        <v>6369.8688757030313</v>
      </c>
      <c r="P25" s="73">
        <f>'Ss-bgt MDE - Synthèse'!K24</f>
        <v>1367.9215390974759</v>
      </c>
      <c r="Q25" s="73">
        <f>'Ss-bgt MDE - Synthèse'!L24</f>
        <v>32.636569773253647</v>
      </c>
      <c r="R25" s="73"/>
      <c r="S25" s="73">
        <f>'Ss-bgt MDE - Synthèse'!N24</f>
        <v>1446.2814765540643</v>
      </c>
      <c r="T25" s="73">
        <f>SUM(K25:R25)-N25</f>
        <v>12665.134677410086</v>
      </c>
      <c r="U25" s="53"/>
      <c r="V25" s="73">
        <f>'Ss-bgt MDE - Synthèse'!N24</f>
        <v>1446.2814765540643</v>
      </c>
      <c r="W25" s="53"/>
      <c r="X25" s="73">
        <f>'Recettes BP 2017'!H31</f>
        <v>35334.747499999998</v>
      </c>
      <c r="Y25" s="288" t="s">
        <v>281</v>
      </c>
    </row>
    <row r="26" spans="1:25">
      <c r="A26" s="1584" t="str">
        <f>'Recettes BP 2017'!A32</f>
        <v>CC Thouarsais</v>
      </c>
      <c r="B26" s="61">
        <f>$B$25*Y26</f>
        <v>4915.5015761897021</v>
      </c>
      <c r="C26" s="61">
        <f>$C$25*Y26</f>
        <v>0</v>
      </c>
      <c r="D26" s="61">
        <f>SUM(B26:C26)</f>
        <v>4915.5015761897021</v>
      </c>
      <c r="E26" s="58"/>
      <c r="F26" s="69">
        <f>F25*$Y$26</f>
        <v>1088.295726313999</v>
      </c>
      <c r="G26" s="69">
        <f>G25*$Y$26</f>
        <v>1114.6009999154414</v>
      </c>
      <c r="H26" s="69">
        <f>$H$25*Y26</f>
        <v>0</v>
      </c>
      <c r="I26" s="69">
        <f>SUM(F26:H26)</f>
        <v>2202.8967262294404</v>
      </c>
      <c r="J26" s="54"/>
      <c r="K26" s="74">
        <f>K25*$Y$26</f>
        <v>0</v>
      </c>
      <c r="L26" s="74">
        <f>L25*$Y$26</f>
        <v>0</v>
      </c>
      <c r="M26" s="74">
        <f>M25*$Y$26</f>
        <v>4792.892612532306</v>
      </c>
      <c r="N26" s="138"/>
      <c r="O26" s="74">
        <f>O25*$Y$26</f>
        <v>6237.3688875924117</v>
      </c>
      <c r="P26" s="74">
        <f>P25*$Y$26</f>
        <v>1339.4673289397085</v>
      </c>
      <c r="Q26" s="74">
        <f>Q25*$Y$26</f>
        <v>31.957694714549987</v>
      </c>
      <c r="R26" s="74"/>
      <c r="S26" s="74">
        <f>S25*$Y$26</f>
        <v>1416.1972970854763</v>
      </c>
      <c r="T26" s="74">
        <f>SUM(K26:R26)</f>
        <v>12401.686523778977</v>
      </c>
      <c r="U26" s="54"/>
      <c r="V26" s="78">
        <f>V25*$Y$26</f>
        <v>1416.1972970854763</v>
      </c>
      <c r="W26" s="54"/>
      <c r="X26" s="82">
        <f>'Recettes BP 2017'!H32</f>
        <v>34599.747499999998</v>
      </c>
      <c r="Y26" s="289">
        <f>X26/$X$25</f>
        <v>0.97919894574030841</v>
      </c>
    </row>
    <row r="27" spans="1:25">
      <c r="A27" s="1584" t="str">
        <f>'Recettes BP 2017'!A33</f>
        <v>CC Airvault - Val du Thouet</v>
      </c>
      <c r="B27" s="61"/>
      <c r="C27" s="61"/>
      <c r="D27" s="61"/>
      <c r="E27" s="58"/>
      <c r="F27" s="69">
        <f>F25*$Y$27</f>
        <v>0</v>
      </c>
      <c r="G27" s="69">
        <f>G25*$Y$27</f>
        <v>0</v>
      </c>
      <c r="H27" s="69">
        <f>H25*$Y$27</f>
        <v>0</v>
      </c>
      <c r="I27" s="69">
        <f>SUM(F27:H27)</f>
        <v>0</v>
      </c>
      <c r="J27" s="54"/>
      <c r="K27" s="74">
        <f>K25*$Y$27</f>
        <v>0</v>
      </c>
      <c r="L27" s="74">
        <f t="shared" ref="L27:T27" si="1">L25*$Y$27</f>
        <v>0</v>
      </c>
      <c r="M27" s="74">
        <f t="shared" si="1"/>
        <v>0</v>
      </c>
      <c r="N27" s="74">
        <f t="shared" si="1"/>
        <v>0</v>
      </c>
      <c r="O27" s="74">
        <f t="shared" si="1"/>
        <v>0</v>
      </c>
      <c r="P27" s="74">
        <f t="shared" si="1"/>
        <v>0</v>
      </c>
      <c r="Q27" s="74">
        <f t="shared" si="1"/>
        <v>0</v>
      </c>
      <c r="R27" s="74">
        <f t="shared" si="1"/>
        <v>0</v>
      </c>
      <c r="S27" s="74">
        <f t="shared" si="1"/>
        <v>0</v>
      </c>
      <c r="T27" s="74">
        <f t="shared" si="1"/>
        <v>0</v>
      </c>
      <c r="U27" s="54"/>
      <c r="V27" s="78">
        <f>V24*$Y$28</f>
        <v>0</v>
      </c>
      <c r="W27" s="54"/>
      <c r="X27" s="82">
        <f>'Recettes BP 2017'!H33</f>
        <v>0</v>
      </c>
      <c r="Y27" s="289">
        <f>X27/$X$25</f>
        <v>0</v>
      </c>
    </row>
    <row r="28" spans="1:25">
      <c r="A28" s="1584" t="str">
        <f>'Recettes BP 2017'!A34</f>
        <v>Mairie de Loudun</v>
      </c>
      <c r="B28" s="61">
        <f>B27*$Y$26</f>
        <v>0</v>
      </c>
      <c r="C28" s="61">
        <f>$C$25*Y28</f>
        <v>0</v>
      </c>
      <c r="D28" s="61">
        <f>SUM(B28:C28)</f>
        <v>0</v>
      </c>
      <c r="E28" s="58"/>
      <c r="F28" s="69">
        <f>F25*$Y$28</f>
        <v>23.118589487995234</v>
      </c>
      <c r="G28" s="69">
        <f>G25*$Y$28</f>
        <v>23.677390562975916</v>
      </c>
      <c r="H28" s="69">
        <f>$H$25*Y28</f>
        <v>0</v>
      </c>
      <c r="I28" s="69">
        <f>SUM(F28:H28)</f>
        <v>46.795980050971153</v>
      </c>
      <c r="J28" s="54"/>
      <c r="K28" s="74">
        <f>K25*$Y$28</f>
        <v>0</v>
      </c>
      <c r="L28" s="74">
        <f>L25*$Y$28</f>
        <v>0</v>
      </c>
      <c r="M28" s="74">
        <f>M25*$Y$28</f>
        <v>101.81508030401798</v>
      </c>
      <c r="N28" s="138"/>
      <c r="O28" s="74">
        <f>O25*$Y$28</f>
        <v>132.49998811061911</v>
      </c>
      <c r="P28" s="74">
        <f>P25*$Y$28</f>
        <v>28.454210157767363</v>
      </c>
      <c r="Q28" s="74">
        <f>Q25*$Y$28</f>
        <v>0.67887505870365805</v>
      </c>
      <c r="R28" s="74"/>
      <c r="S28" s="74">
        <f>S25*$Y$28</f>
        <v>30.084179468587891</v>
      </c>
      <c r="T28" s="74">
        <f>SUM(K28:R28)</f>
        <v>263.44815363110814</v>
      </c>
      <c r="U28" s="54"/>
      <c r="V28" s="78">
        <f>V25*$Y$28</f>
        <v>30.084179468587891</v>
      </c>
      <c r="W28" s="54"/>
      <c r="X28" s="82">
        <f>'Recettes BP 2017'!H34</f>
        <v>735</v>
      </c>
      <c r="Y28" s="289">
        <f>X28/$X$25</f>
        <v>2.0801054259691542E-2</v>
      </c>
    </row>
    <row r="29" spans="1:25">
      <c r="A29" s="1584" t="e">
        <f>'Recettes BP 2017'!#REF!</f>
        <v>#REF!</v>
      </c>
      <c r="B29" s="61">
        <f>B28*$Y$26</f>
        <v>0</v>
      </c>
      <c r="C29" s="61" t="e">
        <f>$C$25*Y29</f>
        <v>#REF!</v>
      </c>
      <c r="D29" s="61" t="e">
        <f>SUM(B29:C29)</f>
        <v>#REF!</v>
      </c>
      <c r="E29" s="58"/>
      <c r="F29" s="69" t="e">
        <f>F25*$Y$29</f>
        <v>#REF!</v>
      </c>
      <c r="G29" s="69" t="e">
        <f>G25*$Y$29</f>
        <v>#REF!</v>
      </c>
      <c r="H29" s="69" t="e">
        <f>$H$25*Y29</f>
        <v>#REF!</v>
      </c>
      <c r="I29" s="69" t="e">
        <f>SUM(F29:H29)</f>
        <v>#REF!</v>
      </c>
      <c r="J29" s="54"/>
      <c r="K29" s="74" t="e">
        <f>K25*$Y$29</f>
        <v>#REF!</v>
      </c>
      <c r="L29" s="74" t="e">
        <f>L25*$Y$29</f>
        <v>#REF!</v>
      </c>
      <c r="M29" s="74" t="e">
        <f>M25*$Y$29</f>
        <v>#REF!</v>
      </c>
      <c r="N29" s="138"/>
      <c r="O29" s="74" t="e">
        <f>O25*$Y$29</f>
        <v>#REF!</v>
      </c>
      <c r="P29" s="74" t="e">
        <f>P25*$Y$29</f>
        <v>#REF!</v>
      </c>
      <c r="Q29" s="74" t="e">
        <f>Q25*$Y$29</f>
        <v>#REF!</v>
      </c>
      <c r="R29" s="74"/>
      <c r="S29" s="74" t="e">
        <f>S25*$Y$29</f>
        <v>#REF!</v>
      </c>
      <c r="T29" s="74" t="e">
        <f>SUM(K29:R29)</f>
        <v>#REF!</v>
      </c>
      <c r="U29" s="54"/>
      <c r="V29" s="78" t="e">
        <f>V25*$Y$29</f>
        <v>#REF!</v>
      </c>
      <c r="W29" s="54"/>
      <c r="X29" s="82" t="e">
        <f>'Recettes BP 2017'!#REF!</f>
        <v>#REF!</v>
      </c>
      <c r="Y29" s="289" t="e">
        <f>X29/$X$25</f>
        <v>#REF!</v>
      </c>
    </row>
    <row r="30" spans="1:25">
      <c r="A30" s="130" t="str">
        <f>'Recettes BP 2017'!A35</f>
        <v>DR Pole Emploi</v>
      </c>
      <c r="B30" s="62"/>
      <c r="C30" s="62"/>
      <c r="D30" s="62"/>
      <c r="E30" s="57"/>
      <c r="F30" s="73"/>
      <c r="G30" s="73"/>
      <c r="H30" s="73"/>
      <c r="I30" s="62"/>
      <c r="J30" s="53"/>
      <c r="K30" s="73"/>
      <c r="L30" s="73"/>
      <c r="M30" s="73"/>
      <c r="N30" s="137"/>
      <c r="O30" s="73"/>
      <c r="P30" s="73"/>
      <c r="Q30" s="73"/>
      <c r="R30" s="73"/>
      <c r="S30" s="73"/>
      <c r="T30" s="73"/>
      <c r="U30" s="53"/>
      <c r="V30" s="73"/>
      <c r="W30" s="53"/>
      <c r="X30" s="73"/>
    </row>
    <row r="31" spans="1:25">
      <c r="A31" s="1584" t="str">
        <f>'Recettes BP 2017'!A36</f>
        <v>Co-traitance</v>
      </c>
      <c r="B31" s="61"/>
      <c r="C31" s="61"/>
      <c r="D31" s="61"/>
      <c r="E31" s="58"/>
      <c r="F31" s="69"/>
      <c r="G31" s="69"/>
      <c r="H31" s="69"/>
      <c r="I31" s="69"/>
      <c r="J31" s="54"/>
      <c r="K31" s="74"/>
      <c r="L31" s="74"/>
      <c r="M31" s="74"/>
      <c r="N31" s="139"/>
      <c r="O31" s="74"/>
      <c r="P31" s="74"/>
      <c r="Q31" s="74"/>
      <c r="R31" s="74"/>
      <c r="S31" s="74"/>
      <c r="T31" s="74"/>
      <c r="U31" s="54"/>
      <c r="V31" s="78"/>
      <c r="W31" s="54"/>
      <c r="X31" s="82"/>
    </row>
    <row r="32" spans="1:25">
      <c r="A32" s="1584" t="e">
        <f>'Recettes BP 2017'!#REF!</f>
        <v>#REF!</v>
      </c>
      <c r="B32" s="61"/>
      <c r="C32" s="61"/>
      <c r="D32" s="61"/>
      <c r="E32" s="58"/>
      <c r="F32" s="69"/>
      <c r="G32" s="69"/>
      <c r="H32" s="69"/>
      <c r="I32" s="69"/>
      <c r="J32" s="54"/>
      <c r="K32" s="74"/>
      <c r="L32" s="74"/>
      <c r="M32" s="74"/>
      <c r="N32" s="139"/>
      <c r="O32" s="74"/>
      <c r="P32" s="74"/>
      <c r="Q32" s="74"/>
      <c r="R32" s="74"/>
      <c r="S32" s="74"/>
      <c r="T32" s="74"/>
      <c r="U32" s="54"/>
      <c r="V32" s="78"/>
      <c r="W32" s="54"/>
      <c r="X32" s="82"/>
    </row>
    <row r="33" spans="1:24">
      <c r="A33" s="1584"/>
      <c r="B33" s="61"/>
      <c r="C33" s="61"/>
      <c r="D33" s="61"/>
      <c r="E33" s="58"/>
      <c r="F33" s="69"/>
      <c r="G33" s="69"/>
      <c r="H33" s="69"/>
      <c r="I33" s="69"/>
      <c r="J33" s="54"/>
      <c r="K33" s="74"/>
      <c r="L33" s="74"/>
      <c r="M33" s="74"/>
      <c r="N33" s="139"/>
      <c r="O33" s="74"/>
      <c r="P33" s="74"/>
      <c r="Q33" s="74"/>
      <c r="R33" s="74"/>
      <c r="S33" s="74"/>
      <c r="T33" s="74"/>
      <c r="U33" s="54"/>
      <c r="V33" s="78"/>
      <c r="W33" s="54"/>
      <c r="X33" s="82"/>
    </row>
    <row r="34" spans="1:24" s="50" customFormat="1">
      <c r="A34" s="130" t="str">
        <f>'Recettes BP 2017'!A37</f>
        <v>Conseil Départemental</v>
      </c>
      <c r="B34" s="62"/>
      <c r="C34" s="62"/>
      <c r="D34" s="62"/>
      <c r="E34" s="57"/>
      <c r="F34" s="62"/>
      <c r="G34" s="73"/>
      <c r="H34" s="73"/>
      <c r="I34" s="62"/>
      <c r="J34" s="53"/>
      <c r="K34" s="73"/>
      <c r="L34" s="73"/>
      <c r="M34" s="73"/>
      <c r="N34" s="137"/>
      <c r="O34" s="73"/>
      <c r="P34" s="73"/>
      <c r="Q34" s="73"/>
      <c r="R34" s="73"/>
      <c r="S34" s="73"/>
      <c r="T34" s="73"/>
      <c r="U34" s="53"/>
      <c r="V34" s="73"/>
      <c r="W34" s="53"/>
      <c r="X34" s="73"/>
    </row>
    <row r="35" spans="1:24">
      <c r="A35" s="217" t="e">
        <f>'Recettes BP 2017'!#REF!</f>
        <v>#REF!</v>
      </c>
      <c r="B35" s="61"/>
      <c r="C35" s="61"/>
      <c r="D35" s="61"/>
      <c r="E35" s="58"/>
      <c r="F35" s="69"/>
      <c r="G35" s="69"/>
      <c r="H35" s="69"/>
      <c r="I35" s="69"/>
      <c r="J35" s="54"/>
      <c r="K35" s="74"/>
      <c r="L35" s="74"/>
      <c r="M35" s="74"/>
      <c r="N35" s="139"/>
      <c r="O35" s="74"/>
      <c r="P35" s="74"/>
      <c r="Q35" s="74"/>
      <c r="R35" s="74"/>
      <c r="S35" s="74"/>
      <c r="T35" s="74"/>
      <c r="U35" s="54"/>
      <c r="V35" s="78"/>
      <c r="W35" s="54"/>
      <c r="X35" s="82"/>
    </row>
    <row r="36" spans="1:24">
      <c r="A36" s="217" t="str">
        <f>'Recettes BP 2017'!A38</f>
        <v>Accompagt jeunes RSA</v>
      </c>
      <c r="B36" s="61"/>
      <c r="C36" s="61"/>
      <c r="D36" s="61"/>
      <c r="E36" s="58"/>
      <c r="F36" s="69"/>
      <c r="G36" s="69"/>
      <c r="H36" s="69"/>
      <c r="I36" s="69"/>
      <c r="J36" s="54"/>
      <c r="K36" s="74"/>
      <c r="L36" s="74"/>
      <c r="M36" s="74"/>
      <c r="N36" s="139"/>
      <c r="O36" s="74"/>
      <c r="P36" s="74"/>
      <c r="Q36" s="74"/>
      <c r="R36" s="74"/>
      <c r="S36" s="74"/>
      <c r="T36" s="74"/>
      <c r="U36" s="54"/>
      <c r="V36" s="78"/>
      <c r="W36" s="54"/>
      <c r="X36" s="82"/>
    </row>
    <row r="37" spans="1:24">
      <c r="A37" s="217"/>
      <c r="B37" s="61"/>
      <c r="C37" s="61"/>
      <c r="D37" s="61"/>
      <c r="E37" s="58"/>
      <c r="F37" s="69"/>
      <c r="G37" s="69"/>
      <c r="H37" s="69"/>
      <c r="I37" s="69"/>
      <c r="J37" s="54"/>
      <c r="K37" s="74"/>
      <c r="L37" s="74"/>
      <c r="M37" s="74"/>
      <c r="N37" s="139"/>
      <c r="O37" s="74"/>
      <c r="P37" s="74"/>
      <c r="Q37" s="74"/>
      <c r="R37" s="74"/>
      <c r="S37" s="74"/>
      <c r="T37" s="74"/>
      <c r="U37" s="54"/>
      <c r="V37" s="78"/>
      <c r="W37" s="54"/>
      <c r="X37" s="82"/>
    </row>
    <row r="38" spans="1:24" s="50" customFormat="1">
      <c r="A38" s="130" t="str">
        <f>'Recettes BP 2017'!A39</f>
        <v>Autres financements</v>
      </c>
      <c r="B38" s="62"/>
      <c r="C38" s="62"/>
      <c r="D38" s="62"/>
      <c r="E38" s="57"/>
      <c r="F38" s="62"/>
      <c r="G38" s="73">
        <f>SUM(G39:G42)</f>
        <v>0</v>
      </c>
      <c r="H38" s="73"/>
      <c r="I38" s="62">
        <f>F38+G38</f>
        <v>0</v>
      </c>
      <c r="J38" s="53"/>
      <c r="K38" s="73"/>
      <c r="L38" s="73"/>
      <c r="M38" s="73">
        <f>SUM(M39:M41)</f>
        <v>0</v>
      </c>
      <c r="N38" s="73">
        <f>SUM(N39:N41)</f>
        <v>0</v>
      </c>
      <c r="O38" s="73"/>
      <c r="P38" s="73"/>
      <c r="Q38" s="73">
        <f>SUM(Q39:Q42)</f>
        <v>0</v>
      </c>
      <c r="R38" s="73"/>
      <c r="S38" s="73"/>
      <c r="T38" s="73">
        <f>SUM(K38:R38)-N38</f>
        <v>0</v>
      </c>
      <c r="U38" s="53"/>
      <c r="V38" s="73"/>
      <c r="W38" s="53"/>
      <c r="X38" s="73">
        <f>'Recettes BP 2017'!H39</f>
        <v>43300</v>
      </c>
    </row>
    <row r="39" spans="1:24">
      <c r="A39" s="1584" t="e">
        <f>'Recettes BP 2017'!#REF!</f>
        <v>#REF!</v>
      </c>
      <c r="B39" s="61"/>
      <c r="C39" s="61"/>
      <c r="D39" s="61"/>
      <c r="E39" s="58"/>
      <c r="F39" s="69"/>
      <c r="G39" s="69"/>
      <c r="H39" s="69"/>
      <c r="I39" s="69"/>
      <c r="J39" s="54"/>
      <c r="K39" s="74"/>
      <c r="L39" s="74"/>
      <c r="M39" s="74"/>
      <c r="N39" s="138"/>
      <c r="O39" s="74"/>
      <c r="P39" s="74"/>
      <c r="Q39" s="74"/>
      <c r="R39" s="74"/>
      <c r="S39" s="74"/>
      <c r="T39" s="74"/>
      <c r="U39" s="54"/>
      <c r="V39" s="78"/>
      <c r="W39" s="54"/>
      <c r="X39" s="82"/>
    </row>
    <row r="40" spans="1:24">
      <c r="A40" s="1584" t="str">
        <f>'Recettes BP 2017'!A41</f>
        <v>Goupe DRH</v>
      </c>
      <c r="B40" s="61"/>
      <c r="C40" s="61"/>
      <c r="D40" s="61"/>
      <c r="E40" s="58"/>
      <c r="F40" s="69"/>
      <c r="G40" s="69">
        <f>'Ss-bgt MDE - Synthèse'!E28</f>
        <v>0</v>
      </c>
      <c r="H40" s="69"/>
      <c r="I40" s="69">
        <f>F40+G40</f>
        <v>0</v>
      </c>
      <c r="J40" s="54"/>
      <c r="K40" s="74"/>
      <c r="L40" s="74"/>
      <c r="M40" s="74">
        <f>'Ss-bgt MDE - Synthèse'!I28</f>
        <v>0</v>
      </c>
      <c r="N40" s="74"/>
      <c r="O40" s="74"/>
      <c r="P40" s="74"/>
      <c r="Q40" s="74"/>
      <c r="R40" s="74"/>
      <c r="S40" s="74"/>
      <c r="T40" s="74">
        <f>SUM(K40:R40)</f>
        <v>0</v>
      </c>
      <c r="U40" s="54"/>
      <c r="V40" s="78"/>
      <c r="W40" s="54"/>
      <c r="X40" s="82">
        <f>'Recettes BP 2017'!H41</f>
        <v>1500</v>
      </c>
    </row>
    <row r="41" spans="1:24">
      <c r="A41" s="217" t="str">
        <f>'Recettes BP 2017'!A42</f>
        <v>Valorisation de Fonds OPCA</v>
      </c>
      <c r="B41" s="61"/>
      <c r="C41" s="61"/>
      <c r="D41" s="61"/>
      <c r="E41" s="58"/>
      <c r="F41" s="69"/>
      <c r="G41" s="69"/>
      <c r="H41" s="69"/>
      <c r="I41" s="69"/>
      <c r="J41" s="54"/>
      <c r="K41" s="74"/>
      <c r="L41" s="74"/>
      <c r="M41" s="74"/>
      <c r="N41" s="139"/>
      <c r="O41" s="74"/>
      <c r="P41" s="74"/>
      <c r="Q41" s="74"/>
      <c r="R41" s="74"/>
      <c r="S41" s="74"/>
      <c r="T41" s="74"/>
      <c r="U41" s="54"/>
      <c r="V41" s="78"/>
      <c r="W41" s="54"/>
      <c r="X41" s="82"/>
    </row>
    <row r="42" spans="1:24">
      <c r="A42" s="217" t="s">
        <v>357</v>
      </c>
      <c r="B42" s="61"/>
      <c r="C42" s="61"/>
      <c r="D42" s="61"/>
      <c r="E42" s="58"/>
      <c r="F42" s="69"/>
      <c r="G42" s="69"/>
      <c r="H42" s="69"/>
      <c r="I42" s="69"/>
      <c r="J42" s="54"/>
      <c r="K42" s="74"/>
      <c r="L42" s="74"/>
      <c r="M42" s="74"/>
      <c r="N42" s="139"/>
      <c r="O42" s="74"/>
      <c r="P42" s="74"/>
      <c r="Q42" s="74"/>
      <c r="R42" s="74"/>
      <c r="S42" s="74"/>
      <c r="T42" s="74">
        <f>SUM(K42:R42)</f>
        <v>0</v>
      </c>
      <c r="U42" s="54"/>
      <c r="V42" s="78"/>
      <c r="W42" s="54"/>
      <c r="X42" s="82" t="e">
        <f>'Recettes BP 2017'!#REF!</f>
        <v>#REF!</v>
      </c>
    </row>
    <row r="43" spans="1:24" s="50" customFormat="1">
      <c r="A43" s="130" t="e">
        <f>'Recettes BP 2017'!#REF!</f>
        <v>#REF!</v>
      </c>
      <c r="B43" s="62" t="e">
        <f>SUM(B44:B46)</f>
        <v>#REF!</v>
      </c>
      <c r="C43" s="62">
        <f>SUM(C44:C46)</f>
        <v>0</v>
      </c>
      <c r="D43" s="62" t="e">
        <f>SUM(B43:C43)</f>
        <v>#REF!</v>
      </c>
      <c r="E43" s="57"/>
      <c r="F43" s="62"/>
      <c r="G43" s="73"/>
      <c r="H43" s="73"/>
      <c r="I43" s="62"/>
      <c r="J43" s="53"/>
      <c r="K43" s="73"/>
      <c r="L43" s="73"/>
      <c r="M43" s="73"/>
      <c r="N43" s="137"/>
      <c r="O43" s="73"/>
      <c r="P43" s="73"/>
      <c r="Q43" s="73"/>
      <c r="R43" s="73"/>
      <c r="S43" s="73"/>
      <c r="T43" s="74">
        <f>SUM(K43:R43)</f>
        <v>0</v>
      </c>
      <c r="U43" s="53"/>
      <c r="V43" s="73"/>
      <c r="W43" s="53"/>
      <c r="X43" s="73" t="e">
        <f>'Recettes BP 2017'!#REF!</f>
        <v>#REF!</v>
      </c>
    </row>
    <row r="44" spans="1:24">
      <c r="A44" s="1584" t="e">
        <f>'Recettes BP 2017'!#REF!</f>
        <v>#REF!</v>
      </c>
      <c r="B44" s="61" t="e">
        <f>#REF!</f>
        <v>#REF!</v>
      </c>
      <c r="C44" s="61"/>
      <c r="D44" s="61" t="e">
        <f>SUM(B44:C44)</f>
        <v>#REF!</v>
      </c>
      <c r="E44" s="58"/>
      <c r="F44" s="69"/>
      <c r="G44" s="69"/>
      <c r="H44" s="69"/>
      <c r="I44" s="69"/>
      <c r="J44" s="54"/>
      <c r="K44" s="74"/>
      <c r="L44" s="74"/>
      <c r="M44" s="74"/>
      <c r="N44" s="139"/>
      <c r="O44" s="74"/>
      <c r="P44" s="74"/>
      <c r="Q44" s="74"/>
      <c r="R44" s="74"/>
      <c r="S44" s="74"/>
      <c r="T44" s="74">
        <f>SUM(K44:R44)</f>
        <v>0</v>
      </c>
      <c r="U44" s="54"/>
      <c r="V44" s="78"/>
      <c r="W44" s="54"/>
      <c r="X44" s="82" t="e">
        <f>'Recettes BP 2017'!#REF!</f>
        <v>#REF!</v>
      </c>
    </row>
    <row r="45" spans="1:24">
      <c r="A45" s="1584" t="e">
        <f>'Recettes BP 2017'!#REF!</f>
        <v>#REF!</v>
      </c>
      <c r="B45" s="61" t="e">
        <f>#REF!</f>
        <v>#REF!</v>
      </c>
      <c r="C45" s="61"/>
      <c r="D45" s="61" t="e">
        <f>SUM(B45:C45)</f>
        <v>#REF!</v>
      </c>
      <c r="E45" s="58"/>
      <c r="F45" s="69"/>
      <c r="G45" s="69"/>
      <c r="H45" s="69"/>
      <c r="I45" s="69"/>
      <c r="J45" s="54"/>
      <c r="K45" s="74"/>
      <c r="L45" s="74"/>
      <c r="M45" s="74"/>
      <c r="N45" s="139"/>
      <c r="O45" s="74"/>
      <c r="P45" s="74"/>
      <c r="Q45" s="74"/>
      <c r="R45" s="74"/>
      <c r="S45" s="74"/>
      <c r="T45" s="74">
        <f>SUM(K45:R45)</f>
        <v>0</v>
      </c>
      <c r="U45" s="54"/>
      <c r="V45" s="78"/>
      <c r="W45" s="54"/>
      <c r="X45" s="82" t="e">
        <f>'Recettes BP 2017'!#REF!</f>
        <v>#REF!</v>
      </c>
    </row>
    <row r="46" spans="1:24">
      <c r="A46" s="1584" t="e">
        <f>'Recettes BP 2017'!#REF!</f>
        <v>#REF!</v>
      </c>
      <c r="B46" s="61" t="e">
        <f>#REF!</f>
        <v>#REF!</v>
      </c>
      <c r="C46" s="61"/>
      <c r="D46" s="61" t="e">
        <f>SUM(B46:C46)</f>
        <v>#REF!</v>
      </c>
      <c r="E46" s="58"/>
      <c r="F46" s="69"/>
      <c r="G46" s="69"/>
      <c r="H46" s="69"/>
      <c r="I46" s="69"/>
      <c r="J46" s="54"/>
      <c r="K46" s="74"/>
      <c r="L46" s="74"/>
      <c r="M46" s="74"/>
      <c r="N46" s="139"/>
      <c r="O46" s="74"/>
      <c r="P46" s="74"/>
      <c r="Q46" s="74"/>
      <c r="R46" s="74"/>
      <c r="S46" s="74"/>
      <c r="T46" s="74">
        <f>SUM(K46:R46)</f>
        <v>0</v>
      </c>
      <c r="U46" s="54"/>
      <c r="V46" s="78"/>
      <c r="W46" s="54"/>
      <c r="X46" s="82" t="e">
        <f>'Recettes BP 2017'!#REF!</f>
        <v>#REF!</v>
      </c>
    </row>
    <row r="47" spans="1:24" s="1" customFormat="1">
      <c r="A47" s="1584" t="str">
        <f>'Recettes BP 2017'!A49</f>
        <v xml:space="preserve"> </v>
      </c>
      <c r="B47" s="64">
        <f>B38+B34+B30+B25+B17+B14+B6</f>
        <v>5019.9212300758882</v>
      </c>
      <c r="C47" s="64">
        <f>C43+C38+C34+C30+C25+C17+C14+C6</f>
        <v>0</v>
      </c>
      <c r="D47" s="64">
        <f>D38+D34+D30+D25+D17+D14+D6</f>
        <v>5019.9212300758882</v>
      </c>
      <c r="E47" s="59"/>
      <c r="F47" s="71">
        <f>F43+F38+F34+F30+F25+F17+F14+F6</f>
        <v>1111.4143158019942</v>
      </c>
      <c r="G47" s="71">
        <f>G43+G38+G34+G30+G25+G17+G14+G6</f>
        <v>9576.6008474636092</v>
      </c>
      <c r="H47" s="71">
        <f>H43+H38+H34+H30+H25+H17+H14+H6</f>
        <v>0</v>
      </c>
      <c r="I47" s="71">
        <f>I43+I38+I34+I30+I25+I17+I14+I6</f>
        <v>10688.015163265603</v>
      </c>
      <c r="J47" s="55"/>
      <c r="K47" s="192">
        <f t="shared" ref="K47:T47" si="2">K43+K38+K34+K30+K25+K17+K14+K6</f>
        <v>0</v>
      </c>
      <c r="L47" s="192">
        <f t="shared" si="2"/>
        <v>0</v>
      </c>
      <c r="M47" s="192">
        <f t="shared" si="2"/>
        <v>41180.314263544627</v>
      </c>
      <c r="N47" s="193">
        <f t="shared" si="2"/>
        <v>0</v>
      </c>
      <c r="O47" s="192">
        <f t="shared" si="2"/>
        <v>6369.8688757030313</v>
      </c>
      <c r="P47" s="192">
        <f t="shared" si="2"/>
        <v>1367.9215390974759</v>
      </c>
      <c r="Q47" s="192">
        <f t="shared" si="2"/>
        <v>20032.636569773254</v>
      </c>
      <c r="R47" s="192">
        <f t="shared" si="2"/>
        <v>0</v>
      </c>
      <c r="S47" s="192"/>
      <c r="T47" s="76">
        <f t="shared" si="2"/>
        <v>79672.362219591319</v>
      </c>
      <c r="U47" s="55"/>
      <c r="V47" s="80">
        <f>'Dépenses BP 2017'!Q131</f>
        <v>40525.490629325446</v>
      </c>
      <c r="W47" s="55"/>
      <c r="X47" s="134">
        <f>'Recettes BP 2017'!H49</f>
        <v>200192.6575</v>
      </c>
    </row>
    <row r="49" spans="1:24">
      <c r="A49" s="287"/>
      <c r="B49" s="287">
        <f>B47-'Ss-bdt MDE - Dep'!F128</f>
        <v>-11879.56387345853</v>
      </c>
      <c r="C49" s="287">
        <f>C47-'Ss-bdt MDE - Dep'!I128</f>
        <v>0</v>
      </c>
      <c r="D49" s="287"/>
      <c r="E49" s="287"/>
      <c r="F49" s="287">
        <f>F47-'Ss-bdt MDE - Dep'!O128</f>
        <v>-28800</v>
      </c>
      <c r="G49" s="287">
        <f>G47-'Ss-bdt MDE - Dep'!Q128</f>
        <v>0</v>
      </c>
      <c r="H49" s="287"/>
      <c r="I49" s="287"/>
      <c r="J49" s="287"/>
      <c r="K49" s="287">
        <f>K47-'Ss-bdt MDE - Dep'!Y128</f>
        <v>0</v>
      </c>
      <c r="L49" s="287">
        <f>L47-'Ss-bdt MDE - Dep'!AA128</f>
        <v>0</v>
      </c>
      <c r="M49" s="287">
        <f>M47-'Ss-bdt MDE - Dep'!AC128</f>
        <v>0</v>
      </c>
      <c r="N49" s="286">
        <f>N47-'Ss-bdt MDE - Dep'!AE128</f>
        <v>0</v>
      </c>
      <c r="O49" s="287">
        <f>O47-'Ss-bdt MDE - Dep'!AG128</f>
        <v>-29450.539999999994</v>
      </c>
      <c r="P49" s="287">
        <f>P47-'Ss-bdt MDE - Dep'!AI128</f>
        <v>-4000</v>
      </c>
      <c r="Q49" s="287">
        <f>Q47-'Ss-bdt MDE - Dep'!AK128</f>
        <v>20000</v>
      </c>
      <c r="R49" s="287">
        <f>R47-'Ss-bdt MDE - Dep'!AM128</f>
        <v>-5991.3707902399101</v>
      </c>
      <c r="S49" s="287"/>
      <c r="T49" s="287"/>
      <c r="U49" s="287"/>
      <c r="V49" s="287">
        <f>V47-'Ss-bdt MDE - Dep'!BC128</f>
        <v>0</v>
      </c>
      <c r="W49" s="287"/>
      <c r="X49" s="287">
        <f>X47-'Ss-bdt MDE - Dep'!BG128</f>
        <v>-74.582598378328839</v>
      </c>
    </row>
  </sheetData>
  <mergeCells count="6">
    <mergeCell ref="X3:X5"/>
    <mergeCell ref="A3:A5"/>
    <mergeCell ref="B3:D4"/>
    <mergeCell ref="F3:I4"/>
    <mergeCell ref="K3:T4"/>
    <mergeCell ref="V3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6" sqref="A16"/>
    </sheetView>
  </sheetViews>
  <sheetFormatPr baseColWidth="10" defaultColWidth="11.42578125" defaultRowHeight="12.75"/>
  <cols>
    <col min="1" max="1" width="112.85546875" customWidth="1"/>
  </cols>
  <sheetData>
    <row r="1" spans="1:1" ht="13.5" thickBot="1"/>
    <row r="2" spans="1:1" ht="15">
      <c r="A2" s="291" t="s">
        <v>358</v>
      </c>
    </row>
    <row r="3" spans="1:1">
      <c r="A3" s="295" t="s">
        <v>359</v>
      </c>
    </row>
    <row r="4" spans="1:1">
      <c r="A4" s="295" t="s">
        <v>360</v>
      </c>
    </row>
    <row r="5" spans="1:1">
      <c r="A5" s="295" t="s">
        <v>361</v>
      </c>
    </row>
    <row r="6" spans="1:1">
      <c r="A6" s="295" t="s">
        <v>362</v>
      </c>
    </row>
    <row r="7" spans="1:1">
      <c r="A7" s="295" t="s">
        <v>363</v>
      </c>
    </row>
    <row r="8" spans="1:1">
      <c r="A8" s="295" t="s">
        <v>364</v>
      </c>
    </row>
    <row r="9" spans="1:1" ht="13.5" thickBot="1">
      <c r="A9" s="2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Dépenses BP 2017</vt:lpstr>
      <vt:lpstr>Recettes BP 2017</vt:lpstr>
      <vt:lpstr>Ss-bdt MDE - Dep</vt:lpstr>
      <vt:lpstr>Ss-bgt MDE - Res</vt:lpstr>
      <vt:lpstr>Ss-bgt MDE - Synthèse</vt:lpstr>
      <vt:lpstr>BUDGET INNOVATION</vt:lpstr>
      <vt:lpstr>Ss-bgt ML - Dep</vt:lpstr>
      <vt:lpstr>Ss-bgt ML - Res</vt:lpstr>
      <vt:lpstr>Pense bête</vt:lpstr>
      <vt:lpstr>Notes - 28-10-13</vt:lpstr>
      <vt:lpstr>Feuil3</vt:lpstr>
      <vt:lpstr>'Dépenses BP 2017'!Zone_d_impression</vt:lpstr>
      <vt:lpstr>'Recettes BP 2017'!Zone_d_impression</vt:lpstr>
      <vt:lpstr>'Ss-bgt MDE - Synthèse'!Zone_d_impression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sandrine.quinty</dc:creator>
  <cp:lastModifiedBy>Sandrine Quinty</cp:lastModifiedBy>
  <cp:revision/>
  <dcterms:created xsi:type="dcterms:W3CDTF">2011-12-12T10:10:35Z</dcterms:created>
  <dcterms:modified xsi:type="dcterms:W3CDTF">2017-02-18T22:09:55Z</dcterms:modified>
</cp:coreProperties>
</file>