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0" yWindow="0" windowWidth="24000" windowHeight="9735" activeTab="1"/>
  </bookViews>
  <sheets>
    <sheet name="Inventaire départ" sheetId="1" r:id="rId1"/>
    <sheet name="Suivi des ventes" sheetId="2" r:id="rId2"/>
  </sheets>
  <externalReferences>
    <externalReference r:id="rId3"/>
  </externalReferences>
  <definedNames>
    <definedName name="produits">'Inventaire départ'!$A$5:$A$25</definedName>
    <definedName name="qté">suivi[[#All],[Quantité]]</definedName>
    <definedName name="Stock_initial">'Inventaire départ'!$B$5:$B$25</definedName>
    <definedName name="Support">'Inventaire départ'!$N$5:$N$7</definedName>
  </definedNames>
  <calcPr calcId="145621"/>
</workbook>
</file>

<file path=xl/calcChain.xml><?xml version="1.0" encoding="utf-8"?>
<calcChain xmlns="http://schemas.openxmlformats.org/spreadsheetml/2006/main">
  <c r="C5" i="1" l="1"/>
  <c r="D5" i="1" l="1"/>
  <c r="D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J2" i="2" l="1"/>
  <c r="Q11" i="2" l="1"/>
  <c r="H11" i="2" s="1"/>
  <c r="Q12" i="2"/>
  <c r="H12" i="2" s="1"/>
  <c r="Q14" i="2"/>
  <c r="H14" i="2" s="1"/>
  <c r="Q15" i="2"/>
  <c r="H15" i="2" s="1"/>
  <c r="Q16" i="2"/>
  <c r="H16" i="2" s="1"/>
  <c r="Q17" i="2"/>
  <c r="H17" i="2" s="1"/>
  <c r="Q18" i="2"/>
  <c r="H18" i="2" s="1"/>
  <c r="Q19" i="2"/>
  <c r="H19" i="2" s="1"/>
  <c r="Q20" i="2"/>
  <c r="H20" i="2" s="1"/>
  <c r="Q21" i="2"/>
  <c r="H21" i="2" s="1"/>
  <c r="Q22" i="2"/>
  <c r="H22" i="2" s="1"/>
  <c r="Q23" i="2"/>
  <c r="H23" i="2" s="1"/>
  <c r="P8" i="2"/>
  <c r="Q8" i="2" s="1"/>
  <c r="H8" i="2" s="1"/>
  <c r="P10" i="2"/>
  <c r="Q10" i="2" s="1"/>
  <c r="H10" i="2" s="1"/>
  <c r="P11" i="2"/>
  <c r="P12" i="2"/>
  <c r="P13" i="2"/>
  <c r="Q13" i="2" s="1"/>
  <c r="H13" i="2" s="1"/>
  <c r="P14" i="2"/>
  <c r="P15" i="2"/>
  <c r="P16" i="2"/>
  <c r="P17" i="2"/>
  <c r="P18" i="2"/>
  <c r="P19" i="2"/>
  <c r="P20" i="2"/>
  <c r="P21" i="2"/>
  <c r="P22" i="2"/>
  <c r="P23" i="2"/>
  <c r="P7" i="2"/>
  <c r="Q7" i="2" s="1"/>
  <c r="H7" i="2" s="1"/>
  <c r="N24" i="2" l="1"/>
  <c r="E23" i="2"/>
  <c r="F23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E8" i="2"/>
  <c r="E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J5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1" i="1"/>
  <c r="G9" i="1" l="1"/>
  <c r="E9" i="1"/>
  <c r="B9" i="1"/>
  <c r="D9" i="1" s="1"/>
  <c r="H8" i="1"/>
  <c r="E8" i="1"/>
  <c r="P9" i="2" s="1"/>
  <c r="Q9" i="2" s="1"/>
  <c r="H9" i="2" s="1"/>
  <c r="B8" i="1"/>
  <c r="D8" i="1" s="1"/>
  <c r="G6" i="1"/>
  <c r="E6" i="1"/>
  <c r="B6" i="1"/>
  <c r="D6" i="1" s="1"/>
</calcChain>
</file>

<file path=xl/sharedStrings.xml><?xml version="1.0" encoding="utf-8"?>
<sst xmlns="http://schemas.openxmlformats.org/spreadsheetml/2006/main" count="72" uniqueCount="69">
  <si>
    <t>Inventaire produits</t>
  </si>
  <si>
    <t>Stock initial</t>
  </si>
  <si>
    <t>Stock de rentabilité</t>
  </si>
  <si>
    <t>Stock de sécurité</t>
  </si>
  <si>
    <t>Câble Adaptateur Micro USB</t>
  </si>
  <si>
    <t>Poids unitaire en grammes</t>
  </si>
  <si>
    <t>Prix d'achat ( FDP+douanes inclus)</t>
  </si>
  <si>
    <t>Investissement de départ</t>
  </si>
  <si>
    <t>Poids Conditionnement en grammes</t>
  </si>
  <si>
    <t>Adaptateur Nano Sim</t>
  </si>
  <si>
    <t xml:space="preserve">Description </t>
  </si>
  <si>
    <t>Kit
Cables Adaptateur Micro USB
4+2 Gratuits</t>
  </si>
  <si>
    <t>Lot de 4 Câbles + 2 offerts</t>
  </si>
  <si>
    <t>Kit
Adaptateur Nano Sim
2+1 gratuit</t>
  </si>
  <si>
    <t>Lot adaptateur Nano Sim
exemplaire gratuit
vendu sans sachet</t>
  </si>
  <si>
    <t>Kit
Adaptateur Nano Sim
Lot de 10</t>
  </si>
  <si>
    <t xml:space="preserve">Lot 10 adaptateurs Nano Sim
</t>
  </si>
  <si>
    <t>Support Trépied Gopro GTRA30</t>
  </si>
  <si>
    <t>Base de Fixation rapide Gopro</t>
  </si>
  <si>
    <t>Vis longue Gopro</t>
  </si>
  <si>
    <t>Support Plat Gopro + 3M</t>
  </si>
  <si>
    <t>Support Incurvé Gopro + 3M</t>
  </si>
  <si>
    <t>Base de Fixation rapide crochet J Gopro</t>
  </si>
  <si>
    <t>Harnais Poitrine + Fixation 3D</t>
  </si>
  <si>
    <t>Adaptateur fixation 1/4 vers gopro</t>
  </si>
  <si>
    <t>Flotteur Rouge + 3M</t>
  </si>
  <si>
    <t>Mini trépied fixation 1/4</t>
  </si>
  <si>
    <t>Sacoche Gopro Taille M</t>
  </si>
  <si>
    <t>Pince Machoir Gopro + Col de Cygne</t>
  </si>
  <si>
    <t>Clé plastique pour vis originale gopro</t>
  </si>
  <si>
    <t>Mini Stabilisateur pas de vis 1/4</t>
  </si>
  <si>
    <t>Perche 3 en 1 trépied/poignée/selfie</t>
  </si>
  <si>
    <t>Insert Anti Buée Gopro vendu par 6</t>
  </si>
  <si>
    <t>Attention
a vendre par 6
2 sachets de 6/paquet</t>
  </si>
  <si>
    <t>Produits</t>
  </si>
  <si>
    <t>17,5X13</t>
  </si>
  <si>
    <t>Standard</t>
  </si>
  <si>
    <t>Taille enveloppes</t>
  </si>
  <si>
    <t>27,5X20</t>
  </si>
  <si>
    <t>35X35</t>
  </si>
  <si>
    <t>Carton</t>
  </si>
  <si>
    <t>Date</t>
  </si>
  <si>
    <t>Référence</t>
  </si>
  <si>
    <t>Frais Ebay</t>
  </si>
  <si>
    <t>Frais Paypal</t>
  </si>
  <si>
    <t>Marge Nette</t>
  </si>
  <si>
    <t>Support</t>
  </si>
  <si>
    <t>Amortissement</t>
  </si>
  <si>
    <t>Quantité</t>
  </si>
  <si>
    <t>Prix de vente</t>
  </si>
  <si>
    <t>Frais d'envoi</t>
  </si>
  <si>
    <t>Stock Restant</t>
  </si>
  <si>
    <t>Numéro de suivi</t>
  </si>
  <si>
    <t>Support Vente</t>
  </si>
  <si>
    <t>Ebay</t>
  </si>
  <si>
    <t>Le Bon Coin</t>
  </si>
  <si>
    <t>Autres</t>
  </si>
  <si>
    <t>poids UNITAIRE</t>
  </si>
  <si>
    <t>POIDS DU COLIS</t>
  </si>
  <si>
    <t>Stock vendu</t>
  </si>
  <si>
    <t>Stock restant</t>
  </si>
  <si>
    <t>kit 1</t>
  </si>
  <si>
    <t>kit 2</t>
  </si>
  <si>
    <t>kit 3</t>
  </si>
  <si>
    <t>kit 4</t>
  </si>
  <si>
    <t>Saisie des ventes</t>
  </si>
  <si>
    <t>TOTAL</t>
  </si>
  <si>
    <t>Sous Total</t>
  </si>
  <si>
    <t>Poids de la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</si>
</sst>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10" borderId="1" xfId="0" applyFont="1" applyFill="1" applyBorder="1"/>
    <xf numFmtId="0" fontId="0" fillId="12" borderId="1" xfId="0" applyFont="1" applyFill="1" applyBorder="1"/>
    <xf numFmtId="0" fontId="0" fillId="17" borderId="2" xfId="0" applyFont="1" applyFill="1" applyBorder="1"/>
    <xf numFmtId="0" fontId="0" fillId="3" borderId="3" xfId="0" applyFont="1" applyFill="1" applyBorder="1" applyAlignment="1">
      <alignment wrapText="1"/>
    </xf>
    <xf numFmtId="0" fontId="0" fillId="12" borderId="3" xfId="0" applyFont="1" applyFill="1" applyBorder="1"/>
    <xf numFmtId="164" fontId="0" fillId="13" borderId="3" xfId="0" applyNumberFormat="1" applyFont="1" applyFill="1" applyBorder="1"/>
    <xf numFmtId="164" fontId="0" fillId="14" borderId="3" xfId="0" applyNumberFormat="1" applyFont="1" applyFill="1" applyBorder="1"/>
    <xf numFmtId="0" fontId="0" fillId="15" borderId="3" xfId="0" applyFont="1" applyFill="1" applyBorder="1"/>
    <xf numFmtId="0" fontId="0" fillId="16" borderId="3" xfId="0" applyFont="1" applyFill="1" applyBorder="1"/>
    <xf numFmtId="0" fontId="4" fillId="11" borderId="4" xfId="0" applyFont="1" applyFill="1" applyBorder="1"/>
    <xf numFmtId="0" fontId="0" fillId="17" borderId="4" xfId="0" applyFont="1" applyFill="1" applyBorder="1"/>
    <xf numFmtId="0" fontId="0" fillId="11" borderId="4" xfId="0" applyFont="1" applyFill="1" applyBorder="1"/>
    <xf numFmtId="0" fontId="3" fillId="2" borderId="0" xfId="0" applyFont="1" applyFill="1" applyBorder="1"/>
    <xf numFmtId="0" fontId="0" fillId="3" borderId="5" xfId="0" applyFont="1" applyFill="1" applyBorder="1"/>
    <xf numFmtId="0" fontId="0" fillId="4" borderId="3" xfId="0" applyFont="1" applyFill="1" applyBorder="1" applyAlignment="1">
      <alignment wrapText="1"/>
    </xf>
    <xf numFmtId="0" fontId="0" fillId="3" borderId="3" xfId="0" applyFont="1" applyFill="1" applyBorder="1"/>
    <xf numFmtId="0" fontId="3" fillId="5" borderId="0" xfId="0" applyFont="1" applyFill="1" applyBorder="1"/>
    <xf numFmtId="0" fontId="0" fillId="12" borderId="5" xfId="0" applyFont="1" applyFill="1" applyBorder="1"/>
    <xf numFmtId="2" fontId="0" fillId="10" borderId="3" xfId="0" applyNumberFormat="1" applyFont="1" applyFill="1" applyBorder="1"/>
    <xf numFmtId="2" fontId="0" fillId="12" borderId="3" xfId="0" applyNumberFormat="1" applyFont="1" applyFill="1" applyBorder="1"/>
    <xf numFmtId="0" fontId="0" fillId="10" borderId="3" xfId="0" applyFont="1" applyFill="1" applyBorder="1"/>
    <xf numFmtId="164" fontId="3" fillId="6" borderId="0" xfId="0" applyNumberFormat="1" applyFont="1" applyFill="1" applyBorder="1"/>
    <xf numFmtId="164" fontId="0" fillId="13" borderId="5" xfId="0" applyNumberFormat="1" applyFont="1" applyFill="1" applyBorder="1"/>
    <xf numFmtId="164" fontId="0" fillId="18" borderId="3" xfId="0" applyNumberFormat="1" applyFont="1" applyFill="1" applyBorder="1"/>
    <xf numFmtId="164" fontId="3" fillId="7" borderId="0" xfId="0" applyNumberFormat="1" applyFont="1" applyFill="1" applyBorder="1"/>
    <xf numFmtId="164" fontId="0" fillId="14" borderId="5" xfId="0" applyNumberFormat="1" applyFont="1" applyFill="1" applyBorder="1"/>
    <xf numFmtId="164" fontId="0" fillId="19" borderId="3" xfId="0" applyNumberFormat="1" applyFont="1" applyFill="1" applyBorder="1"/>
    <xf numFmtId="0" fontId="3" fillId="8" borderId="0" xfId="0" applyFont="1" applyFill="1" applyBorder="1"/>
    <xf numFmtId="0" fontId="0" fillId="15" borderId="5" xfId="0" applyFont="1" applyFill="1" applyBorder="1"/>
    <xf numFmtId="0" fontId="0" fillId="20" borderId="3" xfId="0" applyFont="1" applyFill="1" applyBorder="1"/>
    <xf numFmtId="0" fontId="3" fillId="5" borderId="6" xfId="0" applyFont="1" applyFill="1" applyBorder="1"/>
    <xf numFmtId="0" fontId="0" fillId="10" borderId="6" xfId="0" applyFont="1" applyFill="1" applyBorder="1"/>
    <xf numFmtId="0" fontId="0" fillId="0" borderId="6" xfId="0" applyFont="1" applyBorder="1"/>
    <xf numFmtId="0" fontId="3" fillId="9" borderId="0" xfId="0" applyFont="1" applyFill="1" applyBorder="1"/>
    <xf numFmtId="0" fontId="0" fillId="16" borderId="5" xfId="0" applyFont="1" applyFill="1" applyBorder="1"/>
    <xf numFmtId="0" fontId="0" fillId="21" borderId="3" xfId="0" applyFont="1" applyFill="1" applyBorder="1"/>
    <xf numFmtId="0" fontId="4" fillId="10" borderId="6" xfId="0" applyFont="1" applyFill="1" applyBorder="1"/>
    <xf numFmtId="0" fontId="0" fillId="12" borderId="6" xfId="0" applyFont="1" applyFill="1" applyBorder="1"/>
    <xf numFmtId="0" fontId="0" fillId="4" borderId="7" xfId="0" applyFont="1" applyFill="1" applyBorder="1"/>
    <xf numFmtId="0" fontId="3" fillId="2" borderId="8" xfId="0" applyFont="1" applyFill="1" applyBorder="1"/>
    <xf numFmtId="164" fontId="3" fillId="2" borderId="8" xfId="0" applyNumberFormat="1" applyFont="1" applyFill="1" applyBorder="1"/>
    <xf numFmtId="14" fontId="0" fillId="3" borderId="5" xfId="0" applyNumberFormat="1" applyFont="1" applyFill="1" applyBorder="1"/>
    <xf numFmtId="14" fontId="0" fillId="3" borderId="9" xfId="0" applyNumberFormat="1" applyFont="1" applyFill="1" applyBorder="1"/>
    <xf numFmtId="0" fontId="0" fillId="3" borderId="9" xfId="0" applyFont="1" applyFill="1" applyBorder="1"/>
    <xf numFmtId="164" fontId="0" fillId="3" borderId="9" xfId="0" applyNumberFormat="1" applyFont="1" applyFill="1" applyBorder="1"/>
    <xf numFmtId="14" fontId="0" fillId="4" borderId="3" xfId="0" applyNumberFormat="1" applyFont="1" applyFill="1" applyBorder="1"/>
    <xf numFmtId="164" fontId="0" fillId="4" borderId="7" xfId="0" applyNumberFormat="1" applyFont="1" applyFill="1" applyBorder="1"/>
    <xf numFmtId="14" fontId="0" fillId="3" borderId="3" xfId="0" applyNumberFormat="1" applyFont="1" applyFill="1" applyBorder="1"/>
    <xf numFmtId="0" fontId="0" fillId="3" borderId="7" xfId="0" applyFont="1" applyFill="1" applyBorder="1"/>
    <xf numFmtId="164" fontId="0" fillId="3" borderId="7" xfId="0" applyNumberFormat="1" applyFont="1" applyFill="1" applyBorder="1"/>
    <xf numFmtId="2" fontId="0" fillId="12" borderId="5" xfId="0" applyNumberFormat="1" applyFont="1" applyFill="1" applyBorder="1"/>
    <xf numFmtId="0" fontId="0" fillId="12" borderId="5" xfId="0" applyNumberFormat="1" applyFont="1" applyFill="1" applyBorder="1"/>
    <xf numFmtId="0" fontId="0" fillId="4" borderId="0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iv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suivi" displayName="suivi" ref="A6:M23" totalsRowShown="0" headerRowDxfId="14" dataDxfId="13">
  <autoFilter ref="A6:M23"/>
  <tableColumns count="13">
    <tableColumn id="1" name="Date" dataDxfId="12"/>
    <tableColumn id="2" name="Référence" dataDxfId="11"/>
    <tableColumn id="3" name="Quantité" dataDxfId="10"/>
    <tableColumn id="4" name="Prix de vente" dataDxfId="9"/>
    <tableColumn id="5" name="Frais Ebay" dataDxfId="8">
      <calculatedColumnFormula>IF(ISBLANK(B7),"",(ROUND(D7*7.5%,2)))</calculatedColumnFormula>
    </tableColumn>
    <tableColumn id="6" name="Frais Paypal" dataDxfId="7">
      <calculatedColumnFormula>IF(ISBLANK(B7),"",(ROUND(D7*3.4%,2))+0.25)</calculatedColumnFormula>
    </tableColumn>
    <tableColumn id="13" name="Poids de la commande" dataDxfId="0"/>
    <tableColumn id="7" name="Frais d'envoi" dataDxfId="6">
      <calculatedColumnFormula>IF(Q7&lt;=20,"0,70",IF(Q7&lt;=100,"1,40",IF(Q7&lt;=250,"2,80",IF(Q7&lt;=500,"4,20",IF(Q7&lt;=3000,"5,60","")))))</calculatedColumnFormula>
    </tableColumn>
    <tableColumn id="8" name="Marge Nette" dataDxfId="5"/>
    <tableColumn id="9" name="Stock Restant" dataDxfId="4"/>
    <tableColumn id="10" name="Support" dataDxfId="3"/>
    <tableColumn id="11" name="Amortissement" dataDxfId="2"/>
    <tableColumn id="12" name="Numéro de suivi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61"/>
  <sheetViews>
    <sheetView zoomScale="85" zoomScaleNormal="85" workbookViewId="0">
      <selection activeCell="E4" sqref="E4"/>
    </sheetView>
  </sheetViews>
  <sheetFormatPr baseColWidth="10" defaultRowHeight="15" x14ac:dyDescent="0.25"/>
  <cols>
    <col min="1" max="1" width="32.140625" customWidth="1"/>
    <col min="2" max="4" width="19.7109375" customWidth="1"/>
    <col min="5" max="5" width="34.42578125" style="1" customWidth="1"/>
    <col min="6" max="6" width="30.7109375" style="1" customWidth="1"/>
    <col min="7" max="7" width="27.85546875" customWidth="1"/>
    <col min="8" max="8" width="31.28515625" customWidth="1"/>
    <col min="9" max="9" width="18.7109375" customWidth="1"/>
    <col min="10" max="10" width="20.5703125" customWidth="1"/>
    <col min="11" max="11" width="27.140625" customWidth="1"/>
    <col min="12" max="17" width="22.85546875" customWidth="1"/>
  </cols>
  <sheetData>
    <row r="1" spans="1:14" ht="26.25" x14ac:dyDescent="0.4">
      <c r="A1" s="3" t="s">
        <v>0</v>
      </c>
    </row>
    <row r="4" spans="1:14" ht="30.75" customHeight="1" thickBot="1" x14ac:dyDescent="0.3">
      <c r="A4" s="17" t="s">
        <v>34</v>
      </c>
      <c r="B4" s="21" t="s">
        <v>1</v>
      </c>
      <c r="C4" s="21" t="s">
        <v>59</v>
      </c>
      <c r="D4" s="21" t="s">
        <v>60</v>
      </c>
      <c r="E4" s="26" t="s">
        <v>6</v>
      </c>
      <c r="F4" s="29" t="s">
        <v>7</v>
      </c>
      <c r="G4" s="32" t="s">
        <v>5</v>
      </c>
      <c r="H4" s="35" t="s">
        <v>8</v>
      </c>
      <c r="I4" s="38" t="s">
        <v>3</v>
      </c>
      <c r="J4" s="41" t="s">
        <v>2</v>
      </c>
      <c r="K4" t="s">
        <v>10</v>
      </c>
      <c r="L4" s="14" t="s">
        <v>37</v>
      </c>
      <c r="N4" t="s">
        <v>53</v>
      </c>
    </row>
    <row r="5" spans="1:14" ht="30.75" customHeight="1" thickTop="1" thickBot="1" x14ac:dyDescent="0.3">
      <c r="A5" s="18" t="s">
        <v>4</v>
      </c>
      <c r="B5" s="22">
        <v>340</v>
      </c>
      <c r="C5" s="22">
        <f>IF(ISERROR(VLOOKUP(B7,[1]suivi!$B$7:$C$26,qté,FALSE)),0,VLOOKUP(B7,[1]suivi!$B$7:$C$26,qté,FALSE))</f>
        <v>0</v>
      </c>
      <c r="D5" s="56">
        <f>B5-C5</f>
        <v>340</v>
      </c>
      <c r="E5" s="27">
        <v>0.35</v>
      </c>
      <c r="F5" s="30">
        <v>101</v>
      </c>
      <c r="G5" s="33">
        <v>13</v>
      </c>
      <c r="H5" s="36">
        <v>6</v>
      </c>
      <c r="I5" s="39">
        <v>20</v>
      </c>
      <c r="J5" s="42">
        <f>'Inventaire départ'!$B5-36</f>
        <v>304</v>
      </c>
      <c r="L5" s="15" t="s">
        <v>35</v>
      </c>
      <c r="N5" t="s">
        <v>54</v>
      </c>
    </row>
    <row r="6" spans="1:14" ht="62.25" customHeight="1" thickTop="1" thickBot="1" x14ac:dyDescent="0.3">
      <c r="A6" s="19" t="s">
        <v>11</v>
      </c>
      <c r="B6" s="23">
        <f>B5/6</f>
        <v>56.666666666666664</v>
      </c>
      <c r="C6" s="23"/>
      <c r="D6" s="55">
        <f t="shared" ref="D6:D25" si="0">B6-C6</f>
        <v>56.666666666666664</v>
      </c>
      <c r="E6" s="28">
        <f>E5*6</f>
        <v>2.0999999999999996</v>
      </c>
      <c r="F6" s="31"/>
      <c r="G6" s="34">
        <f>G5*6</f>
        <v>78</v>
      </c>
      <c r="H6" s="37">
        <v>6</v>
      </c>
      <c r="I6" s="40">
        <v>4</v>
      </c>
      <c r="J6" s="36"/>
      <c r="K6" t="s">
        <v>12</v>
      </c>
      <c r="L6" s="16" t="s">
        <v>38</v>
      </c>
      <c r="N6" t="s">
        <v>55</v>
      </c>
    </row>
    <row r="7" spans="1:14" ht="30.75" customHeight="1" thickTop="1" thickBot="1" x14ac:dyDescent="0.3">
      <c r="A7" s="20" t="s">
        <v>9</v>
      </c>
      <c r="B7" s="9">
        <v>812</v>
      </c>
      <c r="C7" s="9"/>
      <c r="D7" s="56">
        <f t="shared" si="0"/>
        <v>812</v>
      </c>
      <c r="E7" s="10">
        <v>0.23</v>
      </c>
      <c r="F7" s="11">
        <v>182</v>
      </c>
      <c r="G7" s="12">
        <v>7</v>
      </c>
      <c r="H7" s="36">
        <v>4</v>
      </c>
      <c r="I7" s="13">
        <v>20</v>
      </c>
      <c r="J7" s="42"/>
      <c r="L7" s="15" t="s">
        <v>39</v>
      </c>
      <c r="N7" t="s">
        <v>56</v>
      </c>
    </row>
    <row r="8" spans="1:14" ht="62.25" customHeight="1" thickTop="1" thickBot="1" x14ac:dyDescent="0.3">
      <c r="A8" s="19" t="s">
        <v>13</v>
      </c>
      <c r="B8" s="23">
        <f>B7/3</f>
        <v>270.66666666666669</v>
      </c>
      <c r="C8" s="23"/>
      <c r="D8" s="55">
        <f t="shared" si="0"/>
        <v>270.66666666666669</v>
      </c>
      <c r="E8" s="28">
        <f>E7*3</f>
        <v>0.69000000000000006</v>
      </c>
      <c r="F8" s="31"/>
      <c r="G8" s="34">
        <v>20</v>
      </c>
      <c r="H8" s="37">
        <f>H7</f>
        <v>4</v>
      </c>
      <c r="I8" s="40">
        <v>8</v>
      </c>
      <c r="J8" s="36"/>
      <c r="K8" s="2" t="s">
        <v>14</v>
      </c>
      <c r="L8" s="16" t="s">
        <v>36</v>
      </c>
    </row>
    <row r="9" spans="1:14" ht="61.5" customHeight="1" thickTop="1" thickBot="1" x14ac:dyDescent="0.3">
      <c r="A9" s="8" t="s">
        <v>15</v>
      </c>
      <c r="B9" s="24">
        <f>B7/10</f>
        <v>81.2</v>
      </c>
      <c r="C9" s="24"/>
      <c r="D9" s="55">
        <f t="shared" si="0"/>
        <v>81.2</v>
      </c>
      <c r="E9" s="10">
        <f>E7*10</f>
        <v>2.3000000000000003</v>
      </c>
      <c r="F9" s="11"/>
      <c r="G9" s="12">
        <f>G7*10</f>
        <v>70</v>
      </c>
      <c r="H9" s="36">
        <v>6</v>
      </c>
      <c r="I9" s="13">
        <v>5</v>
      </c>
      <c r="J9" s="42"/>
      <c r="K9" s="2" t="s">
        <v>16</v>
      </c>
      <c r="L9" s="7" t="s">
        <v>40</v>
      </c>
    </row>
    <row r="10" spans="1:14" ht="30.75" customHeight="1" thickTop="1" thickBot="1" x14ac:dyDescent="0.3">
      <c r="A10" s="19" t="s">
        <v>17</v>
      </c>
      <c r="B10" s="25">
        <v>437</v>
      </c>
      <c r="C10" s="25"/>
      <c r="D10" s="56">
        <f t="shared" si="0"/>
        <v>437</v>
      </c>
      <c r="E10" s="28">
        <v>0.28000000000000003</v>
      </c>
      <c r="F10" s="31">
        <v>63</v>
      </c>
      <c r="G10" s="34">
        <v>11</v>
      </c>
      <c r="H10" s="37">
        <v>6</v>
      </c>
      <c r="I10" s="40">
        <v>20</v>
      </c>
      <c r="J10" s="36"/>
    </row>
    <row r="11" spans="1:14" ht="30.75" customHeight="1" thickTop="1" thickBot="1" x14ac:dyDescent="0.3">
      <c r="A11" s="8" t="s">
        <v>18</v>
      </c>
      <c r="B11" s="9">
        <v>200</v>
      </c>
      <c r="C11" s="9"/>
      <c r="D11" s="56">
        <f t="shared" si="0"/>
        <v>200</v>
      </c>
      <c r="E11" s="10">
        <v>0.17</v>
      </c>
      <c r="F11" s="11">
        <f>B11*E11</f>
        <v>34</v>
      </c>
      <c r="G11" s="12">
        <v>9</v>
      </c>
      <c r="H11" s="36">
        <v>6</v>
      </c>
      <c r="I11" s="13">
        <v>20</v>
      </c>
      <c r="J11" s="42"/>
    </row>
    <row r="12" spans="1:14" ht="30.75" customHeight="1" thickTop="1" thickBot="1" x14ac:dyDescent="0.3">
      <c r="A12" s="19" t="s">
        <v>19</v>
      </c>
      <c r="B12" s="25">
        <v>200</v>
      </c>
      <c r="C12" s="25"/>
      <c r="D12" s="56">
        <f t="shared" si="0"/>
        <v>200</v>
      </c>
      <c r="E12" s="28">
        <v>0.19</v>
      </c>
      <c r="F12" s="31">
        <f t="shared" ref="F12:F25" si="1">B12*E12</f>
        <v>38</v>
      </c>
      <c r="G12" s="34">
        <v>13</v>
      </c>
      <c r="H12" s="37">
        <v>6</v>
      </c>
      <c r="I12" s="40">
        <v>20</v>
      </c>
      <c r="J12" s="36"/>
    </row>
    <row r="13" spans="1:14" ht="30.75" customHeight="1" thickTop="1" thickBot="1" x14ac:dyDescent="0.3">
      <c r="A13" s="8" t="s">
        <v>21</v>
      </c>
      <c r="B13" s="9">
        <v>389</v>
      </c>
      <c r="C13" s="9"/>
      <c r="D13" s="56">
        <f t="shared" si="0"/>
        <v>389</v>
      </c>
      <c r="E13" s="10">
        <v>0.18</v>
      </c>
      <c r="F13" s="11">
        <f t="shared" si="1"/>
        <v>70.02</v>
      </c>
      <c r="G13" s="12">
        <v>11</v>
      </c>
      <c r="H13" s="36">
        <v>6</v>
      </c>
      <c r="I13" s="13">
        <v>20</v>
      </c>
      <c r="J13" s="42"/>
    </row>
    <row r="14" spans="1:14" ht="30.75" customHeight="1" thickTop="1" thickBot="1" x14ac:dyDescent="0.3">
      <c r="A14" s="19" t="s">
        <v>20</v>
      </c>
      <c r="B14" s="25">
        <v>400</v>
      </c>
      <c r="C14" s="25"/>
      <c r="D14" s="56">
        <f t="shared" si="0"/>
        <v>400</v>
      </c>
      <c r="E14" s="28">
        <v>0.18</v>
      </c>
      <c r="F14" s="31">
        <f t="shared" si="1"/>
        <v>72</v>
      </c>
      <c r="G14" s="34">
        <v>11</v>
      </c>
      <c r="H14" s="37">
        <v>6</v>
      </c>
      <c r="I14" s="40">
        <v>20</v>
      </c>
      <c r="J14" s="36"/>
    </row>
    <row r="15" spans="1:14" ht="30.75" customHeight="1" thickTop="1" thickBot="1" x14ac:dyDescent="0.3">
      <c r="A15" s="8" t="s">
        <v>22</v>
      </c>
      <c r="B15" s="9">
        <v>100</v>
      </c>
      <c r="C15" s="9"/>
      <c r="D15" s="56">
        <f t="shared" si="0"/>
        <v>100</v>
      </c>
      <c r="E15" s="10">
        <v>0.28999999999999998</v>
      </c>
      <c r="F15" s="11">
        <f t="shared" si="1"/>
        <v>28.999999999999996</v>
      </c>
      <c r="G15" s="12">
        <v>15</v>
      </c>
      <c r="H15" s="36">
        <v>6</v>
      </c>
      <c r="I15" s="13">
        <v>15</v>
      </c>
      <c r="J15" s="42"/>
    </row>
    <row r="16" spans="1:14" ht="30.75" customHeight="1" thickTop="1" thickBot="1" x14ac:dyDescent="0.3">
      <c r="A16" s="19" t="s">
        <v>23</v>
      </c>
      <c r="B16" s="25">
        <v>30</v>
      </c>
      <c r="C16" s="25"/>
      <c r="D16" s="56">
        <f t="shared" si="0"/>
        <v>30</v>
      </c>
      <c r="E16" s="28">
        <v>3.45</v>
      </c>
      <c r="F16" s="31">
        <f t="shared" si="1"/>
        <v>103.5</v>
      </c>
      <c r="G16" s="34">
        <v>214</v>
      </c>
      <c r="H16" s="37">
        <v>14</v>
      </c>
      <c r="I16" s="40">
        <v>3</v>
      </c>
      <c r="J16" s="36"/>
    </row>
    <row r="17" spans="1:11" ht="30.75" customHeight="1" thickTop="1" thickBot="1" x14ac:dyDescent="0.3">
      <c r="A17" s="8" t="s">
        <v>25</v>
      </c>
      <c r="B17" s="9">
        <v>20</v>
      </c>
      <c r="C17" s="9"/>
      <c r="D17" s="56">
        <f t="shared" si="0"/>
        <v>20</v>
      </c>
      <c r="E17" s="10">
        <v>0.59</v>
      </c>
      <c r="F17" s="11">
        <f t="shared" si="1"/>
        <v>11.799999999999999</v>
      </c>
      <c r="G17" s="12">
        <v>14</v>
      </c>
      <c r="H17" s="36">
        <v>6</v>
      </c>
      <c r="I17" s="13">
        <v>3</v>
      </c>
      <c r="J17" s="42"/>
    </row>
    <row r="18" spans="1:11" ht="30.75" customHeight="1" thickTop="1" thickBot="1" x14ac:dyDescent="0.3">
      <c r="A18" s="19" t="s">
        <v>24</v>
      </c>
      <c r="B18" s="25">
        <v>50</v>
      </c>
      <c r="C18" s="25"/>
      <c r="D18" s="56">
        <f t="shared" si="0"/>
        <v>50</v>
      </c>
      <c r="E18" s="28">
        <v>0.17</v>
      </c>
      <c r="F18" s="31">
        <f t="shared" si="1"/>
        <v>8.5</v>
      </c>
      <c r="G18" s="34">
        <v>8</v>
      </c>
      <c r="H18" s="37">
        <v>6</v>
      </c>
      <c r="I18" s="40">
        <v>8</v>
      </c>
      <c r="J18" s="36"/>
    </row>
    <row r="19" spans="1:11" ht="64.5" customHeight="1" thickTop="1" thickBot="1" x14ac:dyDescent="0.3">
      <c r="A19" s="8" t="s">
        <v>32</v>
      </c>
      <c r="B19" s="9">
        <v>100</v>
      </c>
      <c r="C19" s="9"/>
      <c r="D19" s="56">
        <f t="shared" si="0"/>
        <v>100</v>
      </c>
      <c r="E19" s="10">
        <v>0.14000000000000001</v>
      </c>
      <c r="F19" s="11">
        <f t="shared" si="1"/>
        <v>14.000000000000002</v>
      </c>
      <c r="G19" s="12">
        <v>4</v>
      </c>
      <c r="H19" s="36">
        <v>4</v>
      </c>
      <c r="I19" s="13">
        <v>10</v>
      </c>
      <c r="J19" s="42"/>
      <c r="K19" s="2" t="s">
        <v>33</v>
      </c>
    </row>
    <row r="20" spans="1:11" ht="30.75" customHeight="1" thickTop="1" thickBot="1" x14ac:dyDescent="0.3">
      <c r="A20" s="19" t="s">
        <v>26</v>
      </c>
      <c r="B20" s="25">
        <v>20</v>
      </c>
      <c r="C20" s="25"/>
      <c r="D20" s="56">
        <f t="shared" si="0"/>
        <v>20</v>
      </c>
      <c r="E20" s="28">
        <v>0.8</v>
      </c>
      <c r="F20" s="31">
        <f t="shared" si="1"/>
        <v>16</v>
      </c>
      <c r="G20" s="34">
        <v>40</v>
      </c>
      <c r="H20" s="37">
        <v>14</v>
      </c>
      <c r="I20" s="40">
        <v>3</v>
      </c>
      <c r="J20" s="36"/>
    </row>
    <row r="21" spans="1:11" ht="30.75" customHeight="1" thickTop="1" thickBot="1" x14ac:dyDescent="0.3">
      <c r="A21" s="8" t="s">
        <v>27</v>
      </c>
      <c r="B21" s="9">
        <v>30</v>
      </c>
      <c r="C21" s="9"/>
      <c r="D21" s="56">
        <f t="shared" si="0"/>
        <v>30</v>
      </c>
      <c r="E21" s="10">
        <v>3.52</v>
      </c>
      <c r="F21" s="11">
        <f t="shared" si="1"/>
        <v>105.6</v>
      </c>
      <c r="G21" s="12">
        <v>200</v>
      </c>
      <c r="H21" s="36">
        <v>22</v>
      </c>
      <c r="I21" s="13">
        <v>2</v>
      </c>
      <c r="J21" s="42"/>
    </row>
    <row r="22" spans="1:11" ht="30.75" customHeight="1" thickTop="1" thickBot="1" x14ac:dyDescent="0.3">
      <c r="A22" s="19" t="s">
        <v>28</v>
      </c>
      <c r="B22" s="25">
        <v>20</v>
      </c>
      <c r="C22" s="25"/>
      <c r="D22" s="56">
        <f t="shared" si="0"/>
        <v>20</v>
      </c>
      <c r="E22" s="28">
        <v>5.31</v>
      </c>
      <c r="F22" s="31">
        <f t="shared" si="1"/>
        <v>106.19999999999999</v>
      </c>
      <c r="G22" s="34">
        <v>206</v>
      </c>
      <c r="H22" s="37">
        <v>22</v>
      </c>
      <c r="I22" s="40">
        <v>2</v>
      </c>
      <c r="J22" s="36"/>
    </row>
    <row r="23" spans="1:11" ht="30.75" customHeight="1" thickTop="1" thickBot="1" x14ac:dyDescent="0.3">
      <c r="A23" s="8" t="s">
        <v>29</v>
      </c>
      <c r="B23" s="9">
        <v>50</v>
      </c>
      <c r="C23" s="9"/>
      <c r="D23" s="56">
        <f t="shared" si="0"/>
        <v>50</v>
      </c>
      <c r="E23" s="10">
        <v>0.22</v>
      </c>
      <c r="F23" s="11">
        <f t="shared" si="1"/>
        <v>11</v>
      </c>
      <c r="G23" s="12">
        <v>6</v>
      </c>
      <c r="H23" s="36">
        <v>4</v>
      </c>
      <c r="I23" s="13">
        <v>5</v>
      </c>
      <c r="J23" s="42"/>
    </row>
    <row r="24" spans="1:11" ht="30.75" customHeight="1" thickTop="1" thickBot="1" x14ac:dyDescent="0.3">
      <c r="A24" s="19" t="s">
        <v>30</v>
      </c>
      <c r="B24" s="25">
        <v>20</v>
      </c>
      <c r="C24" s="25"/>
      <c r="D24" s="56">
        <f t="shared" si="0"/>
        <v>20</v>
      </c>
      <c r="E24" s="28">
        <v>17.850000000000001</v>
      </c>
      <c r="F24" s="31">
        <f t="shared" si="1"/>
        <v>357</v>
      </c>
      <c r="G24" s="34">
        <v>1153</v>
      </c>
      <c r="H24" s="37">
        <v>220</v>
      </c>
      <c r="I24" s="40">
        <v>2</v>
      </c>
      <c r="J24" s="36"/>
    </row>
    <row r="25" spans="1:11" ht="30.75" customHeight="1" thickTop="1" x14ac:dyDescent="0.25">
      <c r="A25" s="8" t="s">
        <v>31</v>
      </c>
      <c r="B25" s="9">
        <v>15</v>
      </c>
      <c r="C25" s="9"/>
      <c r="D25" s="56">
        <f t="shared" si="0"/>
        <v>15</v>
      </c>
      <c r="E25" s="10">
        <v>5</v>
      </c>
      <c r="F25" s="11">
        <f t="shared" si="1"/>
        <v>75</v>
      </c>
      <c r="G25" s="12">
        <v>230</v>
      </c>
      <c r="H25" s="5">
        <v>22</v>
      </c>
      <c r="I25" s="13">
        <v>3</v>
      </c>
      <c r="J25" s="6"/>
    </row>
    <row r="26" spans="1:11" ht="30.75" customHeight="1" x14ac:dyDescent="0.25">
      <c r="A26" s="57" t="s">
        <v>61</v>
      </c>
      <c r="D26" s="1"/>
      <c r="F26"/>
    </row>
    <row r="27" spans="1:11" ht="30.75" customHeight="1" x14ac:dyDescent="0.25">
      <c r="A27" s="58" t="s">
        <v>62</v>
      </c>
    </row>
    <row r="28" spans="1:11" ht="30.75" customHeight="1" x14ac:dyDescent="0.25">
      <c r="A28" s="57" t="s">
        <v>63</v>
      </c>
    </row>
    <row r="29" spans="1:11" ht="30.75" customHeight="1" x14ac:dyDescent="0.25">
      <c r="A29" s="58" t="s">
        <v>64</v>
      </c>
    </row>
    <row r="30" spans="1:11" ht="30.75" customHeight="1" x14ac:dyDescent="0.25"/>
    <row r="31" spans="1:11" ht="30.75" customHeight="1" x14ac:dyDescent="0.25"/>
    <row r="32" spans="1:11" ht="30.75" customHeight="1" x14ac:dyDescent="0.25"/>
    <row r="33" ht="30.75" customHeight="1" x14ac:dyDescent="0.25"/>
    <row r="34" ht="30.75" customHeight="1" x14ac:dyDescent="0.25"/>
    <row r="35" ht="30.75" customHeight="1" x14ac:dyDescent="0.25"/>
    <row r="36" ht="30.75" customHeight="1" x14ac:dyDescent="0.25"/>
    <row r="37" ht="30.75" customHeight="1" x14ac:dyDescent="0.25"/>
    <row r="38" ht="30.75" customHeight="1" x14ac:dyDescent="0.25"/>
    <row r="39" ht="30.75" customHeight="1" x14ac:dyDescent="0.25"/>
    <row r="40" ht="30.75" customHeight="1" x14ac:dyDescent="0.25"/>
    <row r="41" ht="30.75" customHeight="1" x14ac:dyDescent="0.25"/>
    <row r="42" ht="30.75" customHeight="1" x14ac:dyDescent="0.25"/>
    <row r="43" ht="30.75" customHeight="1" x14ac:dyDescent="0.25"/>
    <row r="44" ht="30.7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ht="30.75" customHeight="1" x14ac:dyDescent="0.25"/>
    <row r="50" ht="30.75" customHeight="1" x14ac:dyDescent="0.25"/>
    <row r="51" ht="30.75" customHeight="1" x14ac:dyDescent="0.25"/>
    <row r="52" ht="30.75" customHeight="1" x14ac:dyDescent="0.25"/>
    <row r="53" ht="30.75" customHeight="1" x14ac:dyDescent="0.25"/>
    <row r="54" ht="30.75" customHeight="1" x14ac:dyDescent="0.25"/>
    <row r="55" ht="30.75" customHeight="1" x14ac:dyDescent="0.25"/>
    <row r="56" ht="30.75" customHeight="1" x14ac:dyDescent="0.25"/>
    <row r="57" ht="30.75" customHeight="1" x14ac:dyDescent="0.25"/>
    <row r="58" ht="30.75" customHeight="1" x14ac:dyDescent="0.25"/>
    <row r="59" ht="30.75" customHeight="1" x14ac:dyDescent="0.25"/>
    <row r="60" ht="30.75" customHeight="1" x14ac:dyDescent="0.25"/>
    <row r="61" ht="30.7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25"/>
  <sheetViews>
    <sheetView tabSelected="1" zoomScale="85" zoomScaleNormal="85" workbookViewId="0">
      <selection activeCell="I7" sqref="I7"/>
    </sheetView>
  </sheetViews>
  <sheetFormatPr baseColWidth="10" defaultRowHeight="15" x14ac:dyDescent="0.25"/>
  <cols>
    <col min="1" max="1" width="17" customWidth="1"/>
    <col min="2" max="2" width="34.140625" customWidth="1"/>
    <col min="3" max="3" width="14" customWidth="1"/>
    <col min="4" max="4" width="16.28515625" style="1" customWidth="1"/>
    <col min="5" max="6" width="15.140625" style="1" customWidth="1"/>
    <col min="7" max="7" width="23.140625" style="1" customWidth="1"/>
    <col min="8" max="8" width="18.7109375" style="1" customWidth="1"/>
    <col min="9" max="9" width="21" style="1" customWidth="1"/>
    <col min="10" max="10" width="19.28515625" customWidth="1"/>
    <col min="11" max="11" width="16.42578125" customWidth="1"/>
    <col min="12" max="12" width="22.28515625" customWidth="1"/>
    <col min="13" max="13" width="20.28515625" customWidth="1"/>
  </cols>
  <sheetData>
    <row r="1" spans="1:17" ht="21" x14ac:dyDescent="0.35">
      <c r="A1" s="4" t="s">
        <v>65</v>
      </c>
      <c r="B1" s="4"/>
    </row>
    <row r="2" spans="1:17" ht="21" x14ac:dyDescent="0.35">
      <c r="A2" s="4"/>
      <c r="B2" s="4"/>
      <c r="J2" t="str">
        <f>IF($A3="","",VLOOKUP($A3,base,6,FALSE)-D3)</f>
        <v/>
      </c>
    </row>
    <row r="3" spans="1:17" ht="21" x14ac:dyDescent="0.35">
      <c r="A3" s="4"/>
      <c r="B3" s="4"/>
    </row>
    <row r="4" spans="1:17" ht="21" x14ac:dyDescent="0.35">
      <c r="A4" s="4" t="s">
        <v>67</v>
      </c>
      <c r="B4" s="4"/>
    </row>
    <row r="6" spans="1:17" ht="15.75" thickBot="1" x14ac:dyDescent="0.3">
      <c r="A6" s="17" t="s">
        <v>41</v>
      </c>
      <c r="B6" s="44" t="s">
        <v>42</v>
      </c>
      <c r="C6" s="44" t="s">
        <v>48</v>
      </c>
      <c r="D6" s="45" t="s">
        <v>49</v>
      </c>
      <c r="E6" s="45" t="s">
        <v>43</v>
      </c>
      <c r="F6" s="45" t="s">
        <v>44</v>
      </c>
      <c r="G6" s="45" t="s">
        <v>68</v>
      </c>
      <c r="H6" s="45" t="s">
        <v>50</v>
      </c>
      <c r="I6" s="45" t="s">
        <v>45</v>
      </c>
      <c r="J6" s="44" t="s">
        <v>51</v>
      </c>
      <c r="K6" s="44" t="s">
        <v>46</v>
      </c>
      <c r="L6" s="44" t="s">
        <v>47</v>
      </c>
      <c r="M6" s="44" t="s">
        <v>52</v>
      </c>
      <c r="P6" t="s">
        <v>57</v>
      </c>
      <c r="Q6" t="s">
        <v>58</v>
      </c>
    </row>
    <row r="7" spans="1:17" ht="15.75" thickTop="1" x14ac:dyDescent="0.25">
      <c r="A7" s="46">
        <v>42722</v>
      </c>
      <c r="B7" s="47" t="s">
        <v>4</v>
      </c>
      <c r="C7" s="48">
        <v>2</v>
      </c>
      <c r="D7" s="49">
        <v>10</v>
      </c>
      <c r="E7" s="49">
        <f>IF(ISBLANK(B7),"",(ROUND(D7*7.5%,2)))</f>
        <v>0.75</v>
      </c>
      <c r="F7" s="49">
        <f t="shared" ref="F7:F22" si="0">IF(ISBLANK(B7),"",(ROUND(D7*3.4%,2))+0.25)</f>
        <v>0.59000000000000008</v>
      </c>
      <c r="G7" s="49"/>
      <c r="H7" s="49" t="str">
        <f>IF(Q7&lt;=20,"0,70",IF(Q7&lt;=100,"1,40",IF(Q7&lt;=250,"2,80",IF(Q7&lt;=500,"4,20",IF(Q7&lt;=3000,"5,60","")))))</f>
        <v>0,70</v>
      </c>
      <c r="I7" s="49"/>
      <c r="J7" s="48"/>
      <c r="K7" s="48"/>
      <c r="L7" s="48"/>
      <c r="M7" s="48"/>
      <c r="P7">
        <f>IF(ISBLANK(suivi[Référence]),"",VLOOKUP(suivi[Référence],'Inventaire départ'!A5:G25,5,FALSE))</f>
        <v>0.35</v>
      </c>
      <c r="Q7">
        <f>IF(ISBLANK(suivi[[#This Row],[Quantité]]),"",P7*suivi[[#This Row],[Quantité]])</f>
        <v>0.7</v>
      </c>
    </row>
    <row r="8" spans="1:17" x14ac:dyDescent="0.25">
      <c r="A8" s="50">
        <v>42722</v>
      </c>
      <c r="B8" s="43" t="s">
        <v>18</v>
      </c>
      <c r="C8" s="43">
        <v>3</v>
      </c>
      <c r="D8" s="51">
        <v>2.2000000000000002</v>
      </c>
      <c r="E8" s="51">
        <f>IF(ISBLANK(B8),"",(ROUND(D8*7.5%,2)))</f>
        <v>0.17</v>
      </c>
      <c r="F8" s="51">
        <f t="shared" si="0"/>
        <v>0.32</v>
      </c>
      <c r="G8" s="51"/>
      <c r="H8" s="51" t="str">
        <f t="shared" ref="H8:H23" si="1">IF(Q8&lt;=20,"0,70",IF(Q8&lt;=100,"1,40",IF(Q8&lt;=250,"2,80",IF(Q8&lt;=500,"4,20",IF(Q8&lt;=3000,"5,60","")))))</f>
        <v>0,70</v>
      </c>
      <c r="I8" s="51"/>
      <c r="J8" s="43"/>
      <c r="K8" s="43"/>
      <c r="L8" s="43"/>
      <c r="M8" s="43"/>
      <c r="P8">
        <f>IF(ISBLANK(suivi[Référence]),"",VLOOKUP(suivi[Référence],'Inventaire départ'!A6:G26,5,FALSE))</f>
        <v>0.17</v>
      </c>
      <c r="Q8">
        <f>IF(ISBLANK(suivi[[#This Row],[Quantité]]),"",P8*suivi[[#This Row],[Quantité]])</f>
        <v>0.51</v>
      </c>
    </row>
    <row r="9" spans="1:17" x14ac:dyDescent="0.25">
      <c r="A9" s="52">
        <v>42739</v>
      </c>
      <c r="B9" s="53" t="s">
        <v>13</v>
      </c>
      <c r="C9" s="53">
        <v>1</v>
      </c>
      <c r="D9" s="54"/>
      <c r="E9" s="54">
        <f t="shared" ref="E9:E22" si="2">IF(ISBLANK(B9),"",(ROUND(D9*7.5%,2)))</f>
        <v>0</v>
      </c>
      <c r="F9" s="54">
        <f t="shared" si="0"/>
        <v>0.25</v>
      </c>
      <c r="G9" s="54"/>
      <c r="H9" s="54" t="str">
        <f t="shared" si="1"/>
        <v>0,70</v>
      </c>
      <c r="I9" s="54"/>
      <c r="J9" s="53"/>
      <c r="K9" s="53"/>
      <c r="L9" s="53"/>
      <c r="M9" s="53"/>
      <c r="P9">
        <f>IF(ISBLANK(suivi[Référence]),"",VLOOKUP(suivi[Référence],'Inventaire départ'!A7:G27,5,FALSE))</f>
        <v>0.69000000000000006</v>
      </c>
      <c r="Q9">
        <f>IF(ISBLANK(suivi[[#This Row],[Quantité]]),"",P9*suivi[[#This Row],[Quantité]])</f>
        <v>0.69000000000000006</v>
      </c>
    </row>
    <row r="10" spans="1:17" x14ac:dyDescent="0.25">
      <c r="A10" s="50"/>
      <c r="B10" s="43"/>
      <c r="C10" s="43"/>
      <c r="D10" s="51"/>
      <c r="E10" s="51" t="str">
        <f t="shared" si="2"/>
        <v/>
      </c>
      <c r="F10" s="51" t="str">
        <f t="shared" si="0"/>
        <v/>
      </c>
      <c r="G10" s="51"/>
      <c r="H10" s="51" t="str">
        <f t="shared" si="1"/>
        <v/>
      </c>
      <c r="I10" s="51"/>
      <c r="J10" s="43"/>
      <c r="K10" s="43"/>
      <c r="L10" s="43"/>
      <c r="M10" s="43"/>
      <c r="P10" t="str">
        <f>IF(ISBLANK(suivi[Référence]),"",VLOOKUP(suivi[Référence],'Inventaire départ'!A8:G28,5,FALSE))</f>
        <v/>
      </c>
      <c r="Q10" t="str">
        <f>IF(ISBLANK(suivi[[#This Row],[Quantité]]),"",P10*suivi[[#This Row],[Quantité]])</f>
        <v/>
      </c>
    </row>
    <row r="11" spans="1:17" x14ac:dyDescent="0.25">
      <c r="A11" s="52"/>
      <c r="B11" s="53"/>
      <c r="C11" s="53"/>
      <c r="D11" s="54"/>
      <c r="E11" s="54" t="str">
        <f t="shared" si="2"/>
        <v/>
      </c>
      <c r="F11" s="54" t="str">
        <f t="shared" si="0"/>
        <v/>
      </c>
      <c r="G11" s="54"/>
      <c r="H11" s="54" t="str">
        <f t="shared" si="1"/>
        <v/>
      </c>
      <c r="I11" s="54"/>
      <c r="J11" s="53"/>
      <c r="K11" s="53"/>
      <c r="L11" s="53"/>
      <c r="M11" s="53"/>
      <c r="P11" t="str">
        <f>IF(ISBLANK(suivi[Référence]),"",VLOOKUP(suivi[Référence],'Inventaire départ'!A9:G29,5,FALSE))</f>
        <v/>
      </c>
      <c r="Q11" t="str">
        <f>IF(ISBLANK(suivi[[#This Row],[Quantité]]),"",P11*suivi[[#This Row],[Quantité]])</f>
        <v/>
      </c>
    </row>
    <row r="12" spans="1:17" x14ac:dyDescent="0.25">
      <c r="A12" s="50"/>
      <c r="B12" s="43"/>
      <c r="C12" s="43"/>
      <c r="D12" s="51"/>
      <c r="E12" s="51" t="str">
        <f t="shared" si="2"/>
        <v/>
      </c>
      <c r="F12" s="51" t="str">
        <f t="shared" si="0"/>
        <v/>
      </c>
      <c r="G12" s="51"/>
      <c r="H12" s="51" t="str">
        <f t="shared" si="1"/>
        <v/>
      </c>
      <c r="I12" s="51"/>
      <c r="J12" s="43"/>
      <c r="K12" s="43"/>
      <c r="L12" s="43"/>
      <c r="M12" s="43"/>
      <c r="P12" t="str">
        <f>IF(ISBLANK(suivi[Référence]),"",VLOOKUP(suivi[Référence],'Inventaire départ'!A10:G30,5,FALSE))</f>
        <v/>
      </c>
      <c r="Q12" t="str">
        <f>IF(ISBLANK(suivi[[#This Row],[Quantité]]),"",P12*suivi[[#This Row],[Quantité]])</f>
        <v/>
      </c>
    </row>
    <row r="13" spans="1:17" x14ac:dyDescent="0.25">
      <c r="A13" s="52"/>
      <c r="B13" s="53"/>
      <c r="C13" s="53"/>
      <c r="D13" s="54"/>
      <c r="E13" s="54" t="str">
        <f t="shared" si="2"/>
        <v/>
      </c>
      <c r="F13" s="54" t="str">
        <f t="shared" si="0"/>
        <v/>
      </c>
      <c r="G13" s="54"/>
      <c r="H13" s="54" t="str">
        <f t="shared" si="1"/>
        <v/>
      </c>
      <c r="I13" s="54"/>
      <c r="J13" s="53"/>
      <c r="K13" s="53"/>
      <c r="L13" s="53"/>
      <c r="M13" s="53"/>
      <c r="P13" t="str">
        <f>IF(ISBLANK(suivi[Référence]),"",VLOOKUP(suivi[Référence],'Inventaire départ'!A11:G31,5,FALSE))</f>
        <v/>
      </c>
      <c r="Q13" t="str">
        <f>IF(ISBLANK(suivi[[#This Row],[Quantité]]),"",P13*suivi[[#This Row],[Quantité]])</f>
        <v/>
      </c>
    </row>
    <row r="14" spans="1:17" x14ac:dyDescent="0.25">
      <c r="A14" s="50"/>
      <c r="B14" s="43"/>
      <c r="C14" s="43"/>
      <c r="D14" s="51"/>
      <c r="E14" s="51" t="str">
        <f t="shared" si="2"/>
        <v/>
      </c>
      <c r="F14" s="51" t="str">
        <f t="shared" si="0"/>
        <v/>
      </c>
      <c r="G14" s="51"/>
      <c r="H14" s="51" t="str">
        <f t="shared" si="1"/>
        <v/>
      </c>
      <c r="I14" s="51"/>
      <c r="J14" s="43"/>
      <c r="K14" s="43"/>
      <c r="L14" s="43"/>
      <c r="M14" s="43"/>
      <c r="P14" t="str">
        <f>IF(ISBLANK(suivi[Référence]),"",VLOOKUP(suivi[Référence],'Inventaire départ'!A12:G32,5,FALSE))</f>
        <v/>
      </c>
      <c r="Q14" t="str">
        <f>IF(ISBLANK(suivi[[#This Row],[Quantité]]),"",P14*suivi[[#This Row],[Quantité]])</f>
        <v/>
      </c>
    </row>
    <row r="15" spans="1:17" x14ac:dyDescent="0.25">
      <c r="A15" s="52"/>
      <c r="B15" s="53"/>
      <c r="C15" s="53"/>
      <c r="D15" s="54"/>
      <c r="E15" s="54" t="str">
        <f t="shared" si="2"/>
        <v/>
      </c>
      <c r="F15" s="54" t="str">
        <f t="shared" si="0"/>
        <v/>
      </c>
      <c r="G15" s="54"/>
      <c r="H15" s="54" t="str">
        <f t="shared" si="1"/>
        <v/>
      </c>
      <c r="I15" s="54"/>
      <c r="J15" s="53"/>
      <c r="K15" s="53"/>
      <c r="L15" s="53"/>
      <c r="M15" s="53"/>
      <c r="P15" t="str">
        <f>IF(ISBLANK(suivi[Référence]),"",VLOOKUP(suivi[Référence],'Inventaire départ'!A13:G33,5,FALSE))</f>
        <v/>
      </c>
      <c r="Q15" t="str">
        <f>IF(ISBLANK(suivi[[#This Row],[Quantité]]),"",P15*suivi[[#This Row],[Quantité]])</f>
        <v/>
      </c>
    </row>
    <row r="16" spans="1:17" x14ac:dyDescent="0.25">
      <c r="A16" s="50"/>
      <c r="B16" s="43"/>
      <c r="C16" s="43"/>
      <c r="D16" s="51"/>
      <c r="E16" s="51" t="str">
        <f t="shared" si="2"/>
        <v/>
      </c>
      <c r="F16" s="51" t="str">
        <f t="shared" si="0"/>
        <v/>
      </c>
      <c r="G16" s="51"/>
      <c r="H16" s="51" t="str">
        <f t="shared" si="1"/>
        <v/>
      </c>
      <c r="I16" s="51"/>
      <c r="J16" s="43"/>
      <c r="K16" s="43"/>
      <c r="L16" s="43"/>
      <c r="M16" s="43"/>
      <c r="P16" t="str">
        <f>IF(ISBLANK(suivi[Référence]),"",VLOOKUP(suivi[Référence],'Inventaire départ'!A14:G34,5,FALSE))</f>
        <v/>
      </c>
      <c r="Q16" t="str">
        <f>IF(ISBLANK(suivi[[#This Row],[Quantité]]),"",P16*suivi[[#This Row],[Quantité]])</f>
        <v/>
      </c>
    </row>
    <row r="17" spans="1:17" x14ac:dyDescent="0.25">
      <c r="A17" s="52"/>
      <c r="B17" s="53"/>
      <c r="C17" s="53"/>
      <c r="D17" s="54"/>
      <c r="E17" s="54" t="str">
        <f t="shared" si="2"/>
        <v/>
      </c>
      <c r="F17" s="54" t="str">
        <f t="shared" si="0"/>
        <v/>
      </c>
      <c r="G17" s="54"/>
      <c r="H17" s="54" t="str">
        <f t="shared" si="1"/>
        <v/>
      </c>
      <c r="I17" s="54"/>
      <c r="J17" s="53"/>
      <c r="K17" s="53"/>
      <c r="L17" s="53"/>
      <c r="M17" s="53"/>
      <c r="P17" t="str">
        <f>IF(ISBLANK(suivi[Référence]),"",VLOOKUP(suivi[Référence],'Inventaire départ'!A15:G35,5,FALSE))</f>
        <v/>
      </c>
      <c r="Q17" t="str">
        <f>IF(ISBLANK(suivi[[#This Row],[Quantité]]),"",P17*suivi[[#This Row],[Quantité]])</f>
        <v/>
      </c>
    </row>
    <row r="18" spans="1:17" x14ac:dyDescent="0.25">
      <c r="A18" s="50"/>
      <c r="B18" s="43"/>
      <c r="C18" s="43"/>
      <c r="D18" s="51"/>
      <c r="E18" s="51" t="str">
        <f t="shared" si="2"/>
        <v/>
      </c>
      <c r="F18" s="51" t="str">
        <f t="shared" si="0"/>
        <v/>
      </c>
      <c r="G18" s="51"/>
      <c r="H18" s="51" t="str">
        <f t="shared" si="1"/>
        <v/>
      </c>
      <c r="I18" s="51"/>
      <c r="J18" s="43"/>
      <c r="K18" s="43"/>
      <c r="L18" s="43"/>
      <c r="M18" s="43"/>
      <c r="P18" t="str">
        <f>IF(ISBLANK(suivi[Référence]),"",VLOOKUP(suivi[Référence],'Inventaire départ'!A16:G36,5,FALSE))</f>
        <v/>
      </c>
      <c r="Q18" t="str">
        <f>IF(ISBLANK(suivi[[#This Row],[Quantité]]),"",P18*suivi[[#This Row],[Quantité]])</f>
        <v/>
      </c>
    </row>
    <row r="19" spans="1:17" x14ac:dyDescent="0.25">
      <c r="A19" s="52"/>
      <c r="B19" s="53"/>
      <c r="C19" s="53"/>
      <c r="D19" s="54"/>
      <c r="E19" s="54" t="str">
        <f t="shared" si="2"/>
        <v/>
      </c>
      <c r="F19" s="54" t="str">
        <f t="shared" si="0"/>
        <v/>
      </c>
      <c r="G19" s="54"/>
      <c r="H19" s="54" t="str">
        <f t="shared" si="1"/>
        <v/>
      </c>
      <c r="I19" s="54"/>
      <c r="J19" s="53"/>
      <c r="K19" s="53"/>
      <c r="L19" s="53"/>
      <c r="M19" s="53"/>
      <c r="P19" t="str">
        <f>IF(ISBLANK(suivi[Référence]),"",VLOOKUP(suivi[Référence],'Inventaire départ'!A17:G37,5,FALSE))</f>
        <v/>
      </c>
      <c r="Q19" t="str">
        <f>IF(ISBLANK(suivi[[#This Row],[Quantité]]),"",P19*suivi[[#This Row],[Quantité]])</f>
        <v/>
      </c>
    </row>
    <row r="20" spans="1:17" x14ac:dyDescent="0.25">
      <c r="A20" s="50"/>
      <c r="B20" s="43"/>
      <c r="C20" s="43"/>
      <c r="D20" s="51"/>
      <c r="E20" s="51" t="str">
        <f t="shared" si="2"/>
        <v/>
      </c>
      <c r="F20" s="51" t="str">
        <f t="shared" si="0"/>
        <v/>
      </c>
      <c r="G20" s="51"/>
      <c r="H20" s="51" t="str">
        <f t="shared" si="1"/>
        <v/>
      </c>
      <c r="I20" s="51"/>
      <c r="J20" s="43"/>
      <c r="K20" s="43"/>
      <c r="L20" s="43"/>
      <c r="M20" s="43"/>
      <c r="P20" t="str">
        <f>IF(ISBLANK(suivi[Référence]),"",VLOOKUP(suivi[Référence],'Inventaire départ'!A18:G38,5,FALSE))</f>
        <v/>
      </c>
      <c r="Q20" t="str">
        <f>IF(ISBLANK(suivi[[#This Row],[Quantité]]),"",P20*suivi[[#This Row],[Quantité]])</f>
        <v/>
      </c>
    </row>
    <row r="21" spans="1:17" x14ac:dyDescent="0.25">
      <c r="A21" s="52"/>
      <c r="B21" s="53"/>
      <c r="C21" s="53"/>
      <c r="D21" s="54"/>
      <c r="E21" s="54" t="str">
        <f t="shared" si="2"/>
        <v/>
      </c>
      <c r="F21" s="54" t="str">
        <f t="shared" si="0"/>
        <v/>
      </c>
      <c r="G21" s="54"/>
      <c r="H21" s="54" t="str">
        <f t="shared" si="1"/>
        <v/>
      </c>
      <c r="I21" s="54"/>
      <c r="J21" s="53"/>
      <c r="K21" s="53"/>
      <c r="L21" s="53"/>
      <c r="M21" s="53"/>
      <c r="P21" t="str">
        <f>IF(ISBLANK(suivi[Référence]),"",VLOOKUP(suivi[Référence],'Inventaire départ'!A19:G39,5,FALSE))</f>
        <v/>
      </c>
      <c r="Q21" t="str">
        <f>IF(ISBLANK(suivi[[#This Row],[Quantité]]),"",P21*suivi[[#This Row],[Quantité]])</f>
        <v/>
      </c>
    </row>
    <row r="22" spans="1:17" x14ac:dyDescent="0.25">
      <c r="A22" s="50"/>
      <c r="B22" s="43"/>
      <c r="C22" s="43"/>
      <c r="D22" s="51"/>
      <c r="E22" s="51" t="str">
        <f t="shared" si="2"/>
        <v/>
      </c>
      <c r="F22" s="51" t="str">
        <f t="shared" si="0"/>
        <v/>
      </c>
      <c r="G22" s="51"/>
      <c r="H22" s="51" t="str">
        <f t="shared" si="1"/>
        <v/>
      </c>
      <c r="I22" s="51"/>
      <c r="J22" s="43"/>
      <c r="K22" s="43"/>
      <c r="L22" s="43"/>
      <c r="M22" s="43"/>
      <c r="P22" t="str">
        <f>IF(ISBLANK(suivi[Référence]),"",VLOOKUP(suivi[Référence],'Inventaire départ'!A20:G40,5,FALSE))</f>
        <v/>
      </c>
      <c r="Q22" t="str">
        <f>IF(ISBLANK(suivi[[#This Row],[Quantité]]),"",P22*suivi[[#This Row],[Quantité]])</f>
        <v/>
      </c>
    </row>
    <row r="23" spans="1:17" x14ac:dyDescent="0.25">
      <c r="A23" s="50">
        <v>40213</v>
      </c>
      <c r="B23" s="43"/>
      <c r="C23" s="43"/>
      <c r="D23" s="51"/>
      <c r="E23" s="51" t="str">
        <f>IF(ISBLANK(B23),"",(ROUND(D23*7.5%,2)))</f>
        <v/>
      </c>
      <c r="F23" s="51" t="str">
        <f>IF(ISBLANK(B23),"",(ROUND(D23*3.4%,2))+0.25)</f>
        <v/>
      </c>
      <c r="G23" s="51"/>
      <c r="H23" s="51" t="str">
        <f t="shared" si="1"/>
        <v/>
      </c>
      <c r="I23" s="51"/>
      <c r="J23" s="43"/>
      <c r="K23" s="43"/>
      <c r="L23" s="43"/>
      <c r="M23" s="43"/>
      <c r="P23" t="str">
        <f>IF(ISBLANK(suivi[Référence]),"",VLOOKUP(suivi[Référence],'Inventaire départ'!A21:G41,5,FALSE))</f>
        <v/>
      </c>
      <c r="Q23" t="str">
        <f>IF(ISBLANK(suivi[[#This Row],[Quantité]]),"",P23*suivi[[#This Row],[Quantité]])</f>
        <v/>
      </c>
    </row>
    <row r="24" spans="1:17" x14ac:dyDescent="0.25">
      <c r="N24" t="e">
        <f>(AND(Q7&gt;0,Q7&lt;=20,"0,70",(AND(Q7&gt;20,Q7&lt;=100,"1,40",(AND(Q7&gt;100,Q7&lt;=250,"2,80",(AND(Q7&gt;250,Q7&lt;=500,"4,20",(AND(Q7&gt;500,Q7&lt;=3000,"5,60",""))))))))))</f>
        <v>#VALUE!</v>
      </c>
    </row>
    <row r="25" spans="1:17" x14ac:dyDescent="0.25">
      <c r="A25" t="s">
        <v>66</v>
      </c>
    </row>
  </sheetData>
  <dataValidations count="2">
    <dataValidation type="list" allowBlank="1" showInputMessage="1" showErrorMessage="1" sqref="B7:B23">
      <formula1>produits</formula1>
    </dataValidation>
    <dataValidation type="list" allowBlank="1" showInputMessage="1" showErrorMessage="1" sqref="K6:K23">
      <formula1>Support</formula1>
    </dataValidation>
  </dataValidation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Inventaire départ</vt:lpstr>
      <vt:lpstr>Suivi des ventes</vt:lpstr>
      <vt:lpstr>produits</vt:lpstr>
      <vt:lpstr>qté</vt:lpstr>
      <vt:lpstr>Stock_initial</vt:lpstr>
      <vt:lpstr>Support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</dc:creator>
  <cp:lastModifiedBy>Gaet</cp:lastModifiedBy>
  <dcterms:created xsi:type="dcterms:W3CDTF">2016-12-17T14:52:02Z</dcterms:created>
  <dcterms:modified xsi:type="dcterms:W3CDTF">2017-01-07T15:21:51Z</dcterms:modified>
</cp:coreProperties>
</file>