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65" yWindow="465" windowWidth="22845" windowHeight="18120" activeTab="0"/>
  </bookViews>
  <sheets>
    <sheet name="Tableau 2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blot gr?gory</author>
  </authors>
  <commentList>
    <comment ref="B2" authorId="0">
      <text>
        <r>
          <rPr>
            <b/>
            <sz val="10"/>
            <rFont val="Tahoma"/>
            <family val="0"/>
          </rPr>
          <t>Entrez votre VMA ici</t>
        </r>
      </text>
    </comment>
  </commentList>
</comments>
</file>

<file path=xl/sharedStrings.xml><?xml version="1.0" encoding="utf-8"?>
<sst xmlns="http://schemas.openxmlformats.org/spreadsheetml/2006/main" count="57" uniqueCount="44">
  <si>
    <t>VMA=</t>
  </si>
  <si>
    <t>km/h</t>
  </si>
  <si>
    <t>Date:</t>
  </si>
  <si>
    <t>Correspondance allure de course / distances / temps à effectuer</t>
  </si>
  <si>
    <t>(en vert, la zone préférentielle de travail)</t>
  </si>
  <si>
    <t>Allure de course</t>
  </si>
  <si>
    <t>120% VMA</t>
  </si>
  <si>
    <t>110% VMA</t>
  </si>
  <si>
    <t>105% VMA</t>
  </si>
  <si>
    <t>100% VMA</t>
  </si>
  <si>
    <t>95% VMA</t>
  </si>
  <si>
    <t>90% VMA</t>
  </si>
  <si>
    <t>85% VMA</t>
  </si>
  <si>
    <t>80% VMA</t>
  </si>
  <si>
    <t>75% VMA</t>
  </si>
  <si>
    <t>70% VMA</t>
  </si>
  <si>
    <t>60% VMA</t>
  </si>
  <si>
    <t>50% VMA</t>
  </si>
  <si>
    <t>25m</t>
  </si>
  <si>
    <t>50m</t>
  </si>
  <si>
    <t>75m</t>
  </si>
  <si>
    <t>100m</t>
  </si>
  <si>
    <t>150m</t>
  </si>
  <si>
    <t>200m</t>
  </si>
  <si>
    <t>300m</t>
  </si>
  <si>
    <t>400m</t>
  </si>
  <si>
    <t>500m</t>
  </si>
  <si>
    <t>600m</t>
  </si>
  <si>
    <t>800m</t>
  </si>
  <si>
    <t>1000m</t>
  </si>
  <si>
    <t>1200m</t>
  </si>
  <si>
    <t>2000m</t>
  </si>
  <si>
    <t>3000m</t>
  </si>
  <si>
    <t>4000m</t>
  </si>
  <si>
    <t>5000m</t>
  </si>
  <si>
    <t>6000m</t>
  </si>
  <si>
    <t>8000m</t>
  </si>
  <si>
    <t>10000m</t>
  </si>
  <si>
    <t>1500m</t>
  </si>
  <si>
    <t>12000m</t>
  </si>
  <si>
    <t>15000m</t>
  </si>
  <si>
    <t>20000m</t>
  </si>
  <si>
    <r>
      <t xml:space="preserve">Temps à effectuer </t>
    </r>
    <r>
      <rPr>
        <b/>
        <sz val="12"/>
        <color indexed="13"/>
        <rFont val="Arial"/>
        <family val="2"/>
      </rPr>
      <t>(en secondes)</t>
    </r>
    <r>
      <rPr>
        <b/>
        <sz val="12"/>
        <rFont val="Arial"/>
        <family val="2"/>
      </rPr>
      <t xml:space="preserve"> en fonction de la distance parcourue</t>
    </r>
  </si>
  <si>
    <r>
      <t xml:space="preserve">Temps à effectuer </t>
    </r>
    <r>
      <rPr>
        <b/>
        <sz val="12"/>
        <color indexed="13"/>
        <rFont val="Arial"/>
        <family val="2"/>
      </rPr>
      <t>(en minutes)</t>
    </r>
    <r>
      <rPr>
        <b/>
        <sz val="12"/>
        <rFont val="Arial"/>
        <family val="2"/>
      </rPr>
      <t xml:space="preserve"> en fonction de la distance parcourue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</si>
</sst>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0000"/>
    <numFmt numFmtId="173" formatCode="[$-40C]dddd\ d\ mmmm\ yyyy"/>
    <numFmt numFmtId="174" formatCode="[$-F400]h:mm:ss\ AM/PM"/>
    <numFmt numFmtId="175" formatCode="[h]:m:s"/>
    <numFmt numFmtId="176" formatCode="[h]:mm"/>
    <numFmt numFmtId="177" formatCode="&quot;Vrai&quot;;&quot;Vrai&quot;;&quot;Faux&quot;"/>
    <numFmt numFmtId="178" formatCode="&quot;Actif&quot;;&quot;Actif&quot;;&quot;Inactif&quot;"/>
  </numFmts>
  <fonts count="29">
    <font>
      <sz val="10"/>
      <name val="Arial"/>
      <family val="0"/>
    </font>
    <font>
      <b/>
      <sz val="12"/>
      <name val="Arial"/>
      <family val="2"/>
    </font>
    <font>
      <b/>
      <u val="single"/>
      <sz val="14"/>
      <color indexed="12"/>
      <name val="Arial"/>
      <family val="2"/>
    </font>
    <font>
      <sz val="12"/>
      <name val="Arial"/>
      <family val="2"/>
    </font>
    <font>
      <b/>
      <sz val="10"/>
      <name val="Tahom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name val="Arial"/>
      <family val="0"/>
    </font>
    <font>
      <sz val="10"/>
      <color indexed="12"/>
      <name val="Arial"/>
      <family val="0"/>
    </font>
    <font>
      <sz val="10"/>
      <color indexed="63"/>
      <name val="Verdana"/>
      <family val="2"/>
    </font>
    <font>
      <sz val="10"/>
      <color indexed="63"/>
      <name val="Courier New"/>
      <family val="3"/>
    </font>
    <font>
      <b/>
      <sz val="12"/>
      <color indexed="13"/>
      <name val="Arial"/>
      <family val="2"/>
    </font>
    <font>
      <b/>
      <i/>
      <sz val="12"/>
      <color indexed="10"/>
      <name val="Arial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8" borderId="1" applyNumberFormat="0" applyAlignment="0" applyProtection="0"/>
    <xf numFmtId="0" fontId="9" fillId="0" borderId="2" applyNumberFormat="0" applyFill="0" applyAlignment="0" applyProtection="0"/>
    <xf numFmtId="0" fontId="0" fillId="5" borderId="3" applyNumberFormat="0" applyFont="0" applyAlignment="0" applyProtection="0"/>
    <xf numFmtId="0" fontId="10" fillId="3" borderId="1" applyNumberFormat="0" applyAlignment="0" applyProtection="0"/>
    <xf numFmtId="0" fontId="11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3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1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19" borderId="12" xfId="0" applyFont="1" applyFill="1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1" fillId="19" borderId="14" xfId="0" applyFont="1" applyFill="1" applyBorder="1" applyAlignment="1">
      <alignment horizontal="center"/>
    </xf>
    <xf numFmtId="2" fontId="1" fillId="18" borderId="15" xfId="0" applyNumberFormat="1" applyFont="1" applyFill="1" applyBorder="1" applyAlignment="1">
      <alignment/>
    </xf>
    <xf numFmtId="2" fontId="0" fillId="17" borderId="16" xfId="0" applyNumberFormat="1" applyFill="1" applyBorder="1" applyAlignment="1">
      <alignment horizontal="center"/>
    </xf>
    <xf numFmtId="2" fontId="0" fillId="17" borderId="17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17" borderId="19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17" borderId="20" xfId="0" applyNumberForma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17" borderId="25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17" borderId="13" xfId="0" applyNumberFormat="1" applyFill="1" applyBorder="1" applyAlignment="1">
      <alignment horizontal="center"/>
    </xf>
    <xf numFmtId="2" fontId="0" fillId="17" borderId="14" xfId="0" applyNumberFormat="1" applyFill="1" applyBorder="1" applyAlignment="1">
      <alignment horizontal="center"/>
    </xf>
    <xf numFmtId="0" fontId="22" fillId="0" borderId="0" xfId="0" applyFont="1" applyAlignment="1">
      <alignment/>
    </xf>
    <xf numFmtId="2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1" fillId="19" borderId="21" xfId="0" applyFont="1" applyFill="1" applyBorder="1" applyAlignment="1">
      <alignment horizontal="center"/>
    </xf>
    <xf numFmtId="45" fontId="23" fillId="17" borderId="16" xfId="0" applyNumberFormat="1" applyFont="1" applyFill="1" applyBorder="1" applyAlignment="1">
      <alignment horizontal="center"/>
    </xf>
    <xf numFmtId="45" fontId="23" fillId="0" borderId="16" xfId="0" applyNumberFormat="1" applyFont="1" applyFill="1" applyBorder="1" applyAlignment="1">
      <alignment horizontal="center"/>
    </xf>
    <xf numFmtId="45" fontId="23" fillId="0" borderId="13" xfId="0" applyNumberFormat="1" applyFont="1" applyFill="1" applyBorder="1" applyAlignment="1">
      <alignment horizontal="center"/>
    </xf>
    <xf numFmtId="0" fontId="1" fillId="19" borderId="26" xfId="0" applyFon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17" borderId="28" xfId="0" applyNumberFormat="1" applyFill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20" borderId="29" xfId="0" applyFill="1" applyBorder="1" applyAlignment="1">
      <alignment/>
    </xf>
    <xf numFmtId="45" fontId="23" fillId="2" borderId="16" xfId="0" applyNumberFormat="1" applyFont="1" applyFill="1" applyBorder="1" applyAlignment="1">
      <alignment horizontal="center"/>
    </xf>
    <xf numFmtId="45" fontId="23" fillId="2" borderId="13" xfId="0" applyNumberFormat="1" applyFont="1" applyFill="1" applyBorder="1" applyAlignment="1">
      <alignment horizontal="center"/>
    </xf>
    <xf numFmtId="45" fontId="23" fillId="0" borderId="17" xfId="0" applyNumberFormat="1" applyFont="1" applyFill="1" applyBorder="1" applyAlignment="1">
      <alignment horizontal="center"/>
    </xf>
    <xf numFmtId="45" fontId="23" fillId="17" borderId="17" xfId="0" applyNumberFormat="1" applyFont="1" applyFill="1" applyBorder="1" applyAlignment="1">
      <alignment horizontal="center"/>
    </xf>
    <xf numFmtId="45" fontId="23" fillId="2" borderId="17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 wrapText="1"/>
    </xf>
    <xf numFmtId="0" fontId="25" fillId="0" borderId="0" xfId="0" applyFont="1" applyAlignment="1" quotePrefix="1">
      <alignment horizontal="left" wrapText="1"/>
    </xf>
    <xf numFmtId="0" fontId="3" fillId="5" borderId="10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1" fillId="2" borderId="15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0" borderId="30" xfId="0" applyFont="1" applyFill="1" applyBorder="1" applyAlignment="1">
      <alignment horizontal="center"/>
    </xf>
    <xf numFmtId="0" fontId="1" fillId="20" borderId="31" xfId="0" applyFont="1" applyFill="1" applyBorder="1" applyAlignment="1">
      <alignment horizontal="center"/>
    </xf>
    <xf numFmtId="0" fontId="1" fillId="21" borderId="32" xfId="0" applyFont="1" applyFill="1" applyBorder="1" applyAlignment="1">
      <alignment horizontal="center"/>
    </xf>
    <xf numFmtId="0" fontId="1" fillId="21" borderId="33" xfId="0" applyFont="1" applyFill="1" applyBorder="1" applyAlignment="1">
      <alignment horizontal="center"/>
    </xf>
    <xf numFmtId="0" fontId="1" fillId="21" borderId="34" xfId="0" applyFont="1" applyFill="1" applyBorder="1" applyAlignment="1">
      <alignment horizontal="center"/>
    </xf>
    <xf numFmtId="0" fontId="27" fillId="0" borderId="0" xfId="0" applyFont="1" applyAlignment="1">
      <alignment horizontal="center"/>
    </xf>
  </cellXfs>
  <cellStyles count="47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9"/>
  <sheetViews>
    <sheetView tabSelected="1" zoomScalePageLayoutView="0" workbookViewId="0" topLeftCell="A1">
      <selection activeCell="S65" sqref="S65"/>
    </sheetView>
  </sheetViews>
  <sheetFormatPr defaultColWidth="11.421875" defaultRowHeight="12.75"/>
  <cols>
    <col min="1" max="3" width="6.8515625" style="0" customWidth="1"/>
    <col min="4" max="23" width="10.00390625" style="0" customWidth="1"/>
    <col min="24" max="25" width="10.140625" style="0" customWidth="1"/>
    <col min="27" max="27" width="10.140625" style="0" customWidth="1"/>
  </cols>
  <sheetData>
    <row r="1" spans="4:26" ht="18.75" thickBot="1">
      <c r="D1" s="54" t="s">
        <v>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3" ht="16.5" thickBot="1">
      <c r="A2" s="2" t="s">
        <v>0</v>
      </c>
      <c r="B2" s="8">
        <v>11.5</v>
      </c>
      <c r="C2" s="3" t="s">
        <v>1</v>
      </c>
    </row>
    <row r="3" spans="1:26" ht="16.5" thickBot="1">
      <c r="A3" s="4" t="s">
        <v>2</v>
      </c>
      <c r="B3" s="55">
        <f ca="1">TODAY()</f>
        <v>42712</v>
      </c>
      <c r="C3" s="56"/>
      <c r="D3" s="62" t="s">
        <v>4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5" ht="13.5" thickBot="1"/>
    <row r="6" spans="1:37" ht="16.5" thickBot="1">
      <c r="A6" s="59" t="s">
        <v>5</v>
      </c>
      <c r="B6" s="60"/>
      <c r="C6" s="61"/>
      <c r="D6" s="57" t="s">
        <v>42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42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6.5" thickBot="1">
      <c r="A7" s="59"/>
      <c r="B7" s="60"/>
      <c r="C7" s="61"/>
      <c r="D7" s="5" t="s">
        <v>18</v>
      </c>
      <c r="E7" s="33"/>
      <c r="F7" s="6" t="s">
        <v>19</v>
      </c>
      <c r="G7" s="6"/>
      <c r="H7" s="6" t="s">
        <v>20</v>
      </c>
      <c r="I7" s="6"/>
      <c r="J7" s="6" t="s">
        <v>21</v>
      </c>
      <c r="K7" s="6"/>
      <c r="L7" s="6" t="s">
        <v>22</v>
      </c>
      <c r="M7" s="6"/>
      <c r="N7" s="6" t="s">
        <v>23</v>
      </c>
      <c r="O7" s="6"/>
      <c r="P7" s="6" t="s">
        <v>24</v>
      </c>
      <c r="Q7" s="6"/>
      <c r="R7" s="6" t="s">
        <v>25</v>
      </c>
      <c r="S7" s="6"/>
      <c r="T7" s="6" t="s">
        <v>26</v>
      </c>
      <c r="U7" s="6"/>
      <c r="V7" s="6" t="s">
        <v>27</v>
      </c>
      <c r="W7" s="6"/>
      <c r="X7" s="6" t="s">
        <v>28</v>
      </c>
      <c r="Y7" s="37"/>
      <c r="Z7" s="37" t="s">
        <v>29</v>
      </c>
      <c r="AA7" s="6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5.75" thickBot="1">
      <c r="A8" s="51" t="s">
        <v>6</v>
      </c>
      <c r="B8" s="52"/>
      <c r="C8" s="53"/>
      <c r="D8" s="9">
        <f>(25*3600/((120*B2)/100)/1000)</f>
        <v>6.521739130434782</v>
      </c>
      <c r="E8" s="34">
        <f>SUM(D8*"0:0:01")</f>
        <v>7.548309178743961E-05</v>
      </c>
      <c r="F8" s="10">
        <f>(50*3600/((120*B2)/100)/1000)</f>
        <v>13.043478260869565</v>
      </c>
      <c r="G8" s="34">
        <f>SUM(F8*"0:0:01")</f>
        <v>0.00015096618357487922</v>
      </c>
      <c r="H8" s="10">
        <f>(75*3600/((120*B2)/100)/1000)</f>
        <v>19.565217391304348</v>
      </c>
      <c r="I8" s="34">
        <f aca="true" t="shared" si="0" ref="I8:I19">SUM(H8*"0:0:01")</f>
        <v>0.00022644927536231882</v>
      </c>
      <c r="J8" s="10">
        <f>(100*3600/((120*B2)/100)/1000)</f>
        <v>26.08695652173913</v>
      </c>
      <c r="K8" s="34">
        <f aca="true" t="shared" si="1" ref="K8:K19">SUM(J8*"0:0:01")</f>
        <v>0.00030193236714975844</v>
      </c>
      <c r="L8" s="10">
        <f>(150*3600/((120*B2)/100)/1000)</f>
        <v>39.130434782608695</v>
      </c>
      <c r="M8" s="34">
        <f aca="true" t="shared" si="2" ref="M8:M19">SUM(L8*"0:0:01")</f>
        <v>0.00045289855072463763</v>
      </c>
      <c r="N8" s="10">
        <f>(200*3600/((120*B2)/100)/1000)</f>
        <v>52.17391304347826</v>
      </c>
      <c r="O8" s="34">
        <f aca="true" t="shared" si="3" ref="O8:O19">SUM(N8*"0:0:01")</f>
        <v>0.0006038647342995169</v>
      </c>
      <c r="P8" s="11">
        <f>(300*3600/((120*B2)/100)/1000)</f>
        <v>78.26086956521739</v>
      </c>
      <c r="Q8" s="35">
        <f aca="true" t="shared" si="4" ref="Q8:Q19">SUM(P8*"0:0:01")</f>
        <v>0.0009057971014492753</v>
      </c>
      <c r="R8" s="11">
        <f>(400*3600/((120*B2)/100)/1000)</f>
        <v>104.34782608695652</v>
      </c>
      <c r="S8" s="35">
        <f aca="true" t="shared" si="5" ref="S8:S19">SUM(R8*"0:0:01")</f>
        <v>0.0012077294685990338</v>
      </c>
      <c r="T8" s="11">
        <f>(500*3600/((120*B2)/100)/1000)</f>
        <v>130.43478260869566</v>
      </c>
      <c r="U8" s="35">
        <f aca="true" t="shared" si="6" ref="U8:U19">SUM(T8*"0:0:01")</f>
        <v>0.0015096618357487923</v>
      </c>
      <c r="V8" s="11">
        <f>(600*3600/((120*B2)/100)/1000)</f>
        <v>156.52173913043478</v>
      </c>
      <c r="W8" s="35">
        <f aca="true" t="shared" si="7" ref="W8:W19">SUM(V8*"0:0:01")</f>
        <v>0.0018115942028985505</v>
      </c>
      <c r="X8" s="11">
        <f>(800*3600/((120*B2)/100)/1000)</f>
        <v>208.69565217391303</v>
      </c>
      <c r="Y8" s="35">
        <f aca="true" t="shared" si="8" ref="Y8:Y19">SUM(X8*"0:0:01")</f>
        <v>0.0024154589371980675</v>
      </c>
      <c r="Z8" s="38">
        <f>(1000*3600/((120*B2)/100)/1000)</f>
        <v>260.8695652173913</v>
      </c>
      <c r="AA8" s="45">
        <f aca="true" t="shared" si="9" ref="AA8:AA19">SUM(Z8*"0:0:01")</f>
        <v>0.0030193236714975845</v>
      </c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5.75" thickBot="1">
      <c r="A9" s="51" t="s">
        <v>7</v>
      </c>
      <c r="B9" s="52"/>
      <c r="C9" s="53"/>
      <c r="D9" s="12">
        <f>(25*3600/((110*B2)/100)/1000)</f>
        <v>7.1146245059288535</v>
      </c>
      <c r="E9" s="35">
        <f aca="true" t="shared" si="10" ref="E9:G19">SUM(D9*"0:0:01")</f>
        <v>8.23451910408432E-05</v>
      </c>
      <c r="F9" s="13">
        <f>(50*3600/((110*B2)/100)/1000)</f>
        <v>14.229249011857707</v>
      </c>
      <c r="G9" s="34">
        <f t="shared" si="10"/>
        <v>0.0001646903820816864</v>
      </c>
      <c r="H9" s="13">
        <f>(75*3600/((110*B2)/100)/1000)</f>
        <v>21.34387351778656</v>
      </c>
      <c r="I9" s="34">
        <f t="shared" si="0"/>
        <v>0.00024703557312252963</v>
      </c>
      <c r="J9" s="13">
        <f>(100*3600/((110*B2)/100)/1000)</f>
        <v>28.458498023715414</v>
      </c>
      <c r="K9" s="34">
        <f t="shared" si="1"/>
        <v>0.0003293807641633728</v>
      </c>
      <c r="L9" s="13">
        <f>(150*3600/((110*B2)/100)/1000)</f>
        <v>42.68774703557312</v>
      </c>
      <c r="M9" s="34">
        <f t="shared" si="2"/>
        <v>0.0004940711462450593</v>
      </c>
      <c r="N9" s="13">
        <f>(200*3600/((110*B2)/100)/1000)</f>
        <v>56.91699604743083</v>
      </c>
      <c r="O9" s="34">
        <f t="shared" si="3"/>
        <v>0.0006587615283267456</v>
      </c>
      <c r="P9" s="13">
        <f>(300*3600/((110*B2)/100)/1000)</f>
        <v>85.37549407114624</v>
      </c>
      <c r="Q9" s="34">
        <f t="shared" si="4"/>
        <v>0.0009881422924901185</v>
      </c>
      <c r="R9" s="13">
        <f>(400*3600/((110*B2)/100)/1000)</f>
        <v>113.83399209486166</v>
      </c>
      <c r="S9" s="34">
        <f t="shared" si="5"/>
        <v>0.0013175230566534913</v>
      </c>
      <c r="T9" s="14">
        <f>(500*3600/((110*B2)/100)/1000)</f>
        <v>142.29249011857706</v>
      </c>
      <c r="U9" s="35">
        <f t="shared" si="6"/>
        <v>0.001646903820816864</v>
      </c>
      <c r="V9" s="14">
        <f>(600*3600/((110*B2)/100)/1000)</f>
        <v>170.75098814229247</v>
      </c>
      <c r="W9" s="35">
        <f t="shared" si="7"/>
        <v>0.001976284584980237</v>
      </c>
      <c r="X9" s="14">
        <f>(800*3600/((110*B2)/100)/1000)</f>
        <v>227.6679841897233</v>
      </c>
      <c r="Y9" s="35">
        <f t="shared" si="8"/>
        <v>0.0026350461133069825</v>
      </c>
      <c r="Z9" s="38">
        <f>(1000*3600/((110*B2)/100)/1000)</f>
        <v>284.5849802371541</v>
      </c>
      <c r="AA9" s="45">
        <f t="shared" si="9"/>
        <v>0.003293807641633728</v>
      </c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5.75" thickBot="1">
      <c r="A10" s="51" t="s">
        <v>8</v>
      </c>
      <c r="B10" s="52"/>
      <c r="C10" s="53"/>
      <c r="D10" s="12">
        <f>(25*3600/((105*B2)/100)/1000)</f>
        <v>7.453416149068324</v>
      </c>
      <c r="E10" s="35">
        <f t="shared" si="10"/>
        <v>8.62663906142167E-05</v>
      </c>
      <c r="F10" s="14">
        <f>(50*3600/((105*B2)/100)/1000)</f>
        <v>14.906832298136647</v>
      </c>
      <c r="G10" s="35">
        <f t="shared" si="10"/>
        <v>0.0001725327812284334</v>
      </c>
      <c r="H10" s="13">
        <f>(75*3600/((105*B2)/100)/1000)</f>
        <v>22.36024844720497</v>
      </c>
      <c r="I10" s="34">
        <f t="shared" si="0"/>
        <v>0.0002587991718426501</v>
      </c>
      <c r="J10" s="13">
        <f>(100*3600/((106*B2)/100)/1000)</f>
        <v>29.532403609516</v>
      </c>
      <c r="K10" s="34">
        <f t="shared" si="1"/>
        <v>0.0003418102269619907</v>
      </c>
      <c r="L10" s="13">
        <f>(150*3600/((105*B2)/100)/1000)</f>
        <v>44.72049689440994</v>
      </c>
      <c r="M10" s="34">
        <f t="shared" si="2"/>
        <v>0.0005175983436853002</v>
      </c>
      <c r="N10" s="13">
        <f>(200*3600/((105*B2)/100)/1000)</f>
        <v>59.62732919254659</v>
      </c>
      <c r="O10" s="34">
        <f t="shared" si="3"/>
        <v>0.0006901311249137336</v>
      </c>
      <c r="P10" s="13">
        <f>(300*3600/((105*B2)/100)/1000)</f>
        <v>89.44099378881988</v>
      </c>
      <c r="Q10" s="34">
        <f t="shared" si="4"/>
        <v>0.0010351966873706005</v>
      </c>
      <c r="R10" s="13">
        <f>(400*3600/((105*B2)/100)/1000)</f>
        <v>119.25465838509318</v>
      </c>
      <c r="S10" s="34">
        <f t="shared" si="5"/>
        <v>0.0013802622498274672</v>
      </c>
      <c r="T10" s="13">
        <f>(500*3600/((105*B2)/100)/1000)</f>
        <v>149.0683229813665</v>
      </c>
      <c r="U10" s="34">
        <f t="shared" si="6"/>
        <v>0.0017253278122843342</v>
      </c>
      <c r="V10" s="13">
        <f>(600*3600/((105*B2)/100)/1000)</f>
        <v>178.88198757763976</v>
      </c>
      <c r="W10" s="34">
        <f t="shared" si="7"/>
        <v>0.002070393374741201</v>
      </c>
      <c r="X10" s="14">
        <f>(800*3600/((105*B2)/100)/1000)</f>
        <v>238.50931677018636</v>
      </c>
      <c r="Y10" s="35">
        <f t="shared" si="8"/>
        <v>0.0027605244996549345</v>
      </c>
      <c r="Z10" s="39">
        <f>(1000*3600/((105*B2)/100)/1000)</f>
        <v>298.136645962733</v>
      </c>
      <c r="AA10" s="45">
        <f t="shared" si="9"/>
        <v>0.0034506556245686684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5.75" thickBot="1">
      <c r="A11" s="51" t="s">
        <v>9</v>
      </c>
      <c r="B11" s="52"/>
      <c r="C11" s="53"/>
      <c r="D11" s="12">
        <f>100*(25*3600/B2/1000)/100</f>
        <v>7.826086956521738</v>
      </c>
      <c r="E11" s="35">
        <f t="shared" si="10"/>
        <v>9.057971014492752E-05</v>
      </c>
      <c r="F11" s="14">
        <f>100*(50*3600/B2/1000)/100</f>
        <v>15.652173913043477</v>
      </c>
      <c r="G11" s="35">
        <f t="shared" si="10"/>
        <v>0.00018115942028985505</v>
      </c>
      <c r="H11" s="14">
        <f>100*(75*3600/B2/1000)/100</f>
        <v>23.478260869565215</v>
      </c>
      <c r="I11" s="35">
        <f t="shared" si="0"/>
        <v>0.00027173913043478256</v>
      </c>
      <c r="J11" s="13">
        <f>100*(100*3600/B2/1000)/100</f>
        <v>31.304347826086953</v>
      </c>
      <c r="K11" s="34">
        <f t="shared" si="1"/>
        <v>0.0003623188405797101</v>
      </c>
      <c r="L11" s="13">
        <f>100*(150*3600/B2/1000)/100</f>
        <v>46.95652173913043</v>
      </c>
      <c r="M11" s="34">
        <f t="shared" si="2"/>
        <v>0.0005434782608695651</v>
      </c>
      <c r="N11" s="13">
        <f>100*(200*3600/B2/1000)/100</f>
        <v>62.60869565217391</v>
      </c>
      <c r="O11" s="34">
        <f t="shared" si="3"/>
        <v>0.0007246376811594202</v>
      </c>
      <c r="P11" s="13">
        <f>100*(300*3600/B2/1000)/100</f>
        <v>93.91304347826086</v>
      </c>
      <c r="Q11" s="34">
        <f t="shared" si="4"/>
        <v>0.0010869565217391302</v>
      </c>
      <c r="R11" s="13">
        <f>100*(400*3600/B2/1000)/100</f>
        <v>125.21739130434781</v>
      </c>
      <c r="S11" s="34">
        <f t="shared" si="5"/>
        <v>0.0014492753623188404</v>
      </c>
      <c r="T11" s="13">
        <f>100*(500*3600/B2/1000)/100</f>
        <v>156.52173913043478</v>
      </c>
      <c r="U11" s="34">
        <f t="shared" si="6"/>
        <v>0.0018115942028985505</v>
      </c>
      <c r="V11" s="13">
        <f>100*(600*3600/B2/1000)/100</f>
        <v>187.82608695652172</v>
      </c>
      <c r="W11" s="34">
        <f t="shared" si="7"/>
        <v>0.0021739130434782605</v>
      </c>
      <c r="X11" s="13">
        <f>100*(800*3600/B2/1000)/100</f>
        <v>250.43478260869563</v>
      </c>
      <c r="Y11" s="34">
        <f t="shared" si="8"/>
        <v>0.0028985507246376808</v>
      </c>
      <c r="Z11" s="40">
        <f>100*(1000*3600/B2/1000)/100</f>
        <v>313.04347826086956</v>
      </c>
      <c r="AA11" s="46">
        <f t="shared" si="9"/>
        <v>0.003623188405797101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5.75" thickBot="1">
      <c r="A12" s="51" t="s">
        <v>10</v>
      </c>
      <c r="B12" s="52"/>
      <c r="C12" s="53"/>
      <c r="D12" s="12">
        <f>(25*3600/((95*B2)/100)/1000)</f>
        <v>8.237986270022882</v>
      </c>
      <c r="E12" s="35">
        <f t="shared" si="10"/>
        <v>9.534706331045002E-05</v>
      </c>
      <c r="F12" s="14">
        <f>(50*3600/((95*B2)/100)/1000)</f>
        <v>16.475972540045763</v>
      </c>
      <c r="G12" s="35">
        <f t="shared" si="10"/>
        <v>0.00019069412662090003</v>
      </c>
      <c r="H12" s="14">
        <f>(75*3600/((95*B2)/100)/1000)</f>
        <v>24.71395881006865</v>
      </c>
      <c r="I12" s="35">
        <f t="shared" si="0"/>
        <v>0.0002860411899313501</v>
      </c>
      <c r="J12" s="14">
        <f>(100*3600/((95*B2)/100)/1000)</f>
        <v>32.95194508009153</v>
      </c>
      <c r="K12" s="35">
        <f t="shared" si="1"/>
        <v>0.00038138825324180006</v>
      </c>
      <c r="L12" s="14">
        <f>(150*3600/((95*B2)/100)/1000)</f>
        <v>49.4279176201373</v>
      </c>
      <c r="M12" s="35">
        <f t="shared" si="2"/>
        <v>0.0005720823798627002</v>
      </c>
      <c r="N12" s="13">
        <f>(200*3600/((95*B2)/100)/1000)</f>
        <v>65.90389016018305</v>
      </c>
      <c r="O12" s="43">
        <f t="shared" si="3"/>
        <v>0.0007627765064836001</v>
      </c>
      <c r="P12" s="13">
        <f>(300*3600/((95*B2)/100)/1000)</f>
        <v>98.8558352402746</v>
      </c>
      <c r="Q12" s="43">
        <f t="shared" si="4"/>
        <v>0.0011441647597254005</v>
      </c>
      <c r="R12" s="13">
        <f>(400*3600/((95*B2)/100)/1000)</f>
        <v>131.8077803203661</v>
      </c>
      <c r="S12" s="43">
        <f t="shared" si="5"/>
        <v>0.0015255530129672003</v>
      </c>
      <c r="T12" s="13">
        <f>(500*3600/((95*B2)/100)/1000)</f>
        <v>164.75972540045765</v>
      </c>
      <c r="U12" s="43">
        <f t="shared" si="6"/>
        <v>0.0019069412662090005</v>
      </c>
      <c r="V12" s="13">
        <f>(600*3600/((95*B2)/100)/1000)</f>
        <v>197.7116704805492</v>
      </c>
      <c r="W12" s="43">
        <f t="shared" si="7"/>
        <v>0.002288329519450801</v>
      </c>
      <c r="X12" s="13">
        <f>(800*3600/((95*B2)/100)/1000)</f>
        <v>263.6155606407322</v>
      </c>
      <c r="Y12" s="43">
        <f t="shared" si="8"/>
        <v>0.0030511060259344005</v>
      </c>
      <c r="Z12" s="40">
        <f>(1000*3600/((95*B2)/100)/1000)</f>
        <v>329.5194508009153</v>
      </c>
      <c r="AA12" s="47">
        <f t="shared" si="9"/>
        <v>0.003813882532418001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5.75" thickBot="1">
      <c r="A13" s="51" t="s">
        <v>11</v>
      </c>
      <c r="B13" s="52"/>
      <c r="C13" s="53"/>
      <c r="D13" s="12">
        <f>(25*3600/((90*B2)/100)/1000)</f>
        <v>8.695652173913045</v>
      </c>
      <c r="E13" s="35">
        <f t="shared" si="10"/>
        <v>0.00010064412238325283</v>
      </c>
      <c r="F13" s="14">
        <f>(50*3600/((90*B2)/100)/1000)</f>
        <v>17.39130434782609</v>
      </c>
      <c r="G13" s="35">
        <f t="shared" si="10"/>
        <v>0.00020128824476650566</v>
      </c>
      <c r="H13" s="14">
        <f>(75*3600/((90*B2)/100)/1000)</f>
        <v>26.086956521739133</v>
      </c>
      <c r="I13" s="35">
        <f t="shared" si="0"/>
        <v>0.00030193236714975844</v>
      </c>
      <c r="J13" s="14">
        <f>(100*3600/((90*B2)/100)/1000)</f>
        <v>34.78260869565218</v>
      </c>
      <c r="K13" s="35">
        <f t="shared" si="1"/>
        <v>0.0004025764895330113</v>
      </c>
      <c r="L13" s="14">
        <f>(150*3600/((90*B2)/100)/1000)</f>
        <v>52.173913043478265</v>
      </c>
      <c r="M13" s="35">
        <f t="shared" si="2"/>
        <v>0.0006038647342995169</v>
      </c>
      <c r="N13" s="14">
        <f>(200*3600/((90*B2)/100)/1000)</f>
        <v>69.56521739130436</v>
      </c>
      <c r="O13" s="35">
        <f t="shared" si="3"/>
        <v>0.0008051529790660227</v>
      </c>
      <c r="P13" s="14">
        <f>(300*3600/((90*B2)/100)/1000)</f>
        <v>104.34782608695653</v>
      </c>
      <c r="Q13" s="35">
        <f t="shared" si="4"/>
        <v>0.0012077294685990338</v>
      </c>
      <c r="R13" s="13">
        <f>(400*3600/((90*B2)/100)/1000)</f>
        <v>139.13043478260872</v>
      </c>
      <c r="S13" s="43">
        <f t="shared" si="5"/>
        <v>0.0016103059581320453</v>
      </c>
      <c r="T13" s="13">
        <f>(500*3600/((90*B2)/100)/1000)</f>
        <v>173.91304347826087</v>
      </c>
      <c r="U13" s="43">
        <f t="shared" si="6"/>
        <v>0.002012882447665056</v>
      </c>
      <c r="V13" s="13">
        <f>(600*3600/((90*B2)/100)/1000)</f>
        <v>208.69565217391306</v>
      </c>
      <c r="W13" s="43">
        <f t="shared" si="7"/>
        <v>0.0024154589371980675</v>
      </c>
      <c r="X13" s="13">
        <f>(800*3600/((90*B2)/100)/1000)</f>
        <v>278.26086956521743</v>
      </c>
      <c r="Y13" s="43">
        <f t="shared" si="8"/>
        <v>0.0032206119162640906</v>
      </c>
      <c r="Z13" s="40">
        <f>(1000*3600/((90*B2)/100)/1000)</f>
        <v>347.82608695652175</v>
      </c>
      <c r="AA13" s="47">
        <f t="shared" si="9"/>
        <v>0.004025764895330112</v>
      </c>
      <c r="AB13" s="1"/>
      <c r="AC13" s="31"/>
      <c r="AD13" s="32"/>
      <c r="AE13" s="1"/>
      <c r="AF13" s="1"/>
      <c r="AG13" s="1"/>
      <c r="AH13" s="1"/>
      <c r="AI13" s="1"/>
      <c r="AJ13" s="1"/>
      <c r="AK13" s="1"/>
    </row>
    <row r="14" spans="1:37" ht="15.75" thickBot="1">
      <c r="A14" s="51" t="s">
        <v>12</v>
      </c>
      <c r="B14" s="52"/>
      <c r="C14" s="53"/>
      <c r="D14" s="12">
        <f>(25*3600/((85*B2)/100)/1000)</f>
        <v>9.207161125319693</v>
      </c>
      <c r="E14" s="35">
        <f t="shared" si="10"/>
        <v>0.00010656436487638534</v>
      </c>
      <c r="F14" s="14">
        <f>(50*3600/((85*B2)/100)/1000)</f>
        <v>18.414322250639387</v>
      </c>
      <c r="G14" s="35">
        <f t="shared" si="10"/>
        <v>0.00021312872975277067</v>
      </c>
      <c r="H14" s="14">
        <f>(75*3600/((85*B2)/100)/1000)</f>
        <v>27.621483375959077</v>
      </c>
      <c r="I14" s="35">
        <f t="shared" si="0"/>
        <v>0.000319693094629156</v>
      </c>
      <c r="J14" s="14">
        <f>(100*3600/((85*B2)/100)/1000)</f>
        <v>36.828644501278774</v>
      </c>
      <c r="K14" s="35">
        <f t="shared" si="1"/>
        <v>0.00042625745950554135</v>
      </c>
      <c r="L14" s="14">
        <f>(150*3600/((85*B2)/100)/1000)</f>
        <v>55.24296675191815</v>
      </c>
      <c r="M14" s="35">
        <f t="shared" si="2"/>
        <v>0.000639386189258312</v>
      </c>
      <c r="N14" s="14">
        <f>(200*3600/((85*B2)/100)/1000)</f>
        <v>73.65728900255755</v>
      </c>
      <c r="O14" s="35">
        <f t="shared" si="3"/>
        <v>0.0008525149190110827</v>
      </c>
      <c r="P14" s="14">
        <f>(300*3600/((85*B2)/100)/1000)</f>
        <v>110.4859335038363</v>
      </c>
      <c r="Q14" s="35">
        <f t="shared" si="4"/>
        <v>0.001278772378516624</v>
      </c>
      <c r="R14" s="14">
        <f>(400*3600/((85*B2)/100)/1000)</f>
        <v>147.3145780051151</v>
      </c>
      <c r="S14" s="35">
        <f t="shared" si="5"/>
        <v>0.0017050298380221654</v>
      </c>
      <c r="T14" s="14">
        <f>(500*3600/((85*B2)/100)/1000)</f>
        <v>184.14322250639384</v>
      </c>
      <c r="U14" s="35">
        <f t="shared" si="6"/>
        <v>0.0021312872975277064</v>
      </c>
      <c r="V14" s="13">
        <f>(600*3600/((85*B2)/100)/1000)</f>
        <v>220.9718670076726</v>
      </c>
      <c r="W14" s="43">
        <f t="shared" si="7"/>
        <v>0.002557544757033248</v>
      </c>
      <c r="X14" s="13">
        <f>(800*3600/((85*B2)/100)/1000)</f>
        <v>294.6291560102302</v>
      </c>
      <c r="Y14" s="43">
        <f t="shared" si="8"/>
        <v>0.0034100596760443308</v>
      </c>
      <c r="Z14" s="40">
        <f>(1000*3600/((85*B2)/100)/1000)</f>
        <v>368.2864450127877</v>
      </c>
      <c r="AA14" s="47">
        <f t="shared" si="9"/>
        <v>0.004262574595055413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5.75" thickBot="1">
      <c r="A15" s="51" t="s">
        <v>13</v>
      </c>
      <c r="B15" s="52"/>
      <c r="C15" s="53"/>
      <c r="D15" s="12">
        <f>(25*3600/((80*B2)/100)/1000)</f>
        <v>9.782608695652174</v>
      </c>
      <c r="E15" s="35">
        <f t="shared" si="10"/>
        <v>0.00011322463768115941</v>
      </c>
      <c r="F15" s="14">
        <f>(50*3600/((80*B2)/100)/1000)</f>
        <v>19.565217391304348</v>
      </c>
      <c r="G15" s="35">
        <f t="shared" si="10"/>
        <v>0.00022644927536231882</v>
      </c>
      <c r="H15" s="14">
        <f>(75*3600/((80*B2)/100)/1000)</f>
        <v>29.347826086956523</v>
      </c>
      <c r="I15" s="35">
        <f t="shared" si="0"/>
        <v>0.00033967391304347825</v>
      </c>
      <c r="J15" s="14">
        <f>(100*3600/((80*B2)/100)/1000)</f>
        <v>39.130434782608695</v>
      </c>
      <c r="K15" s="35">
        <f t="shared" si="1"/>
        <v>0.00045289855072463763</v>
      </c>
      <c r="L15" s="14">
        <f>(150*3600/((80*B2)/100)/1000)</f>
        <v>58.69565217391305</v>
      </c>
      <c r="M15" s="35">
        <f t="shared" si="2"/>
        <v>0.0006793478260869565</v>
      </c>
      <c r="N15" s="14">
        <f>(200*3600/((80*B2)/100)/1000)</f>
        <v>78.26086956521739</v>
      </c>
      <c r="O15" s="35">
        <f t="shared" si="3"/>
        <v>0.0009057971014492753</v>
      </c>
      <c r="P15" s="14">
        <f>(300*3600/((80*B2)/100)/1000)</f>
        <v>117.3913043478261</v>
      </c>
      <c r="Q15" s="35">
        <f t="shared" si="4"/>
        <v>0.001358695652173913</v>
      </c>
      <c r="R15" s="14">
        <f>(400*3600/((80*B2)/100)/1000)</f>
        <v>156.52173913043478</v>
      </c>
      <c r="S15" s="35">
        <f t="shared" si="5"/>
        <v>0.0018115942028985505</v>
      </c>
      <c r="T15" s="14">
        <f>(500*3600/((80*B2)/100)/1000)</f>
        <v>195.6521739130435</v>
      </c>
      <c r="U15" s="35">
        <f t="shared" si="6"/>
        <v>0.0022644927536231885</v>
      </c>
      <c r="V15" s="14">
        <f>(600*3600/((80*B2)/100)/1000)</f>
        <v>234.7826086956522</v>
      </c>
      <c r="W15" s="35">
        <f t="shared" si="7"/>
        <v>0.002717391304347826</v>
      </c>
      <c r="X15" s="14">
        <f>(800*3600/((80*B2)/100)/1000)</f>
        <v>313.04347826086956</v>
      </c>
      <c r="Y15" s="35">
        <f t="shared" si="8"/>
        <v>0.003623188405797101</v>
      </c>
      <c r="Z15" s="40">
        <f>(1000*3600/((80*B2)/100)/1000)</f>
        <v>391.304347826087</v>
      </c>
      <c r="AA15" s="47">
        <f t="shared" si="9"/>
        <v>0.004528985507246377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5.75" thickBot="1">
      <c r="A16" s="51" t="s">
        <v>14</v>
      </c>
      <c r="B16" s="52"/>
      <c r="C16" s="53"/>
      <c r="D16" s="12">
        <f>(25*3600/((75*B2)/100)/1000)</f>
        <v>10.434782608695652</v>
      </c>
      <c r="E16" s="35">
        <f t="shared" si="10"/>
        <v>0.00012077294685990338</v>
      </c>
      <c r="F16" s="14">
        <f>(50*3600/((75*B2)/100)/1000)</f>
        <v>20.869565217391305</v>
      </c>
      <c r="G16" s="35">
        <f t="shared" si="10"/>
        <v>0.00024154589371980676</v>
      </c>
      <c r="H16" s="14">
        <f>(75*3600/((75*B2)/100)/1000)</f>
        <v>31.304347826086957</v>
      </c>
      <c r="I16" s="35">
        <f t="shared" si="0"/>
        <v>0.00036231884057971015</v>
      </c>
      <c r="J16" s="14">
        <f>(100*3600/((75*B2)/100)/1000)</f>
        <v>41.73913043478261</v>
      </c>
      <c r="K16" s="35">
        <f t="shared" si="1"/>
        <v>0.0004830917874396135</v>
      </c>
      <c r="L16" s="14">
        <f>(150*3600/((75*B2)/100)/1000)</f>
        <v>62.608695652173914</v>
      </c>
      <c r="M16" s="35">
        <f t="shared" si="2"/>
        <v>0.0007246376811594203</v>
      </c>
      <c r="N16" s="14">
        <f>(200*3600/((75*B2)/100)/1000)</f>
        <v>83.47826086956522</v>
      </c>
      <c r="O16" s="35">
        <f t="shared" si="3"/>
        <v>0.000966183574879227</v>
      </c>
      <c r="P16" s="14">
        <f>(300*3600/((75*B2)/100)/1000)</f>
        <v>125.21739130434783</v>
      </c>
      <c r="Q16" s="35">
        <f t="shared" si="4"/>
        <v>0.0014492753623188406</v>
      </c>
      <c r="R16" s="14">
        <f>(400*3600/((75*B2)/100)/1000)</f>
        <v>166.95652173913044</v>
      </c>
      <c r="S16" s="35">
        <f t="shared" si="5"/>
        <v>0.001932367149758454</v>
      </c>
      <c r="T16" s="14">
        <f>(500*3600/((75*B2)/100)/1000)</f>
        <v>208.69565217391306</v>
      </c>
      <c r="U16" s="35">
        <f t="shared" si="6"/>
        <v>0.0024154589371980675</v>
      </c>
      <c r="V16" s="14">
        <f>(600*3600/((75*B2)/100)/1000)</f>
        <v>250.43478260869566</v>
      </c>
      <c r="W16" s="35">
        <f t="shared" si="7"/>
        <v>0.002898550724637681</v>
      </c>
      <c r="X16" s="14">
        <f>(800*3600/((75*B2)/100)/1000)</f>
        <v>333.9130434782609</v>
      </c>
      <c r="Y16" s="35">
        <f t="shared" si="8"/>
        <v>0.003864734299516908</v>
      </c>
      <c r="Z16" s="39">
        <f>(1000*3600/((75*B2)/100)/1000)</f>
        <v>417.3913043478261</v>
      </c>
      <c r="AA16" s="45">
        <f t="shared" si="9"/>
        <v>0.004830917874396135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5.75" thickBot="1">
      <c r="A17" s="51" t="s">
        <v>15</v>
      </c>
      <c r="B17" s="52"/>
      <c r="C17" s="53"/>
      <c r="D17" s="12">
        <f>(25*3600/((70*B2)/100)/1000)</f>
        <v>11.180124223602483</v>
      </c>
      <c r="E17" s="35">
        <f t="shared" si="10"/>
        <v>0.00012939958592132503</v>
      </c>
      <c r="F17" s="14">
        <f>(50*3600/((70*B2)/100)/1000)</f>
        <v>22.360248447204967</v>
      </c>
      <c r="G17" s="35">
        <f t="shared" si="10"/>
        <v>0.00025879917184265007</v>
      </c>
      <c r="H17" s="14">
        <f>(75*3600/((70*B2)/100)/1000)</f>
        <v>33.54037267080746</v>
      </c>
      <c r="I17" s="35">
        <f t="shared" si="0"/>
        <v>0.0003881987577639752</v>
      </c>
      <c r="J17" s="14">
        <f>(100*3600/((70*B2)/100)/1000)</f>
        <v>44.72049689440993</v>
      </c>
      <c r="K17" s="35">
        <f t="shared" si="1"/>
        <v>0.0005175983436853001</v>
      </c>
      <c r="L17" s="14">
        <f>(150*3600/((70*B2)/100)/1000)</f>
        <v>67.08074534161491</v>
      </c>
      <c r="M17" s="35">
        <f t="shared" si="2"/>
        <v>0.0007763975155279504</v>
      </c>
      <c r="N17" s="14">
        <f>(200*3600/((70*B2)/100)/1000)</f>
        <v>89.44099378881987</v>
      </c>
      <c r="O17" s="35">
        <f t="shared" si="3"/>
        <v>0.0010351966873706003</v>
      </c>
      <c r="P17" s="14">
        <f>(300*3600/((70*B2)/100)/1000)</f>
        <v>134.16149068322983</v>
      </c>
      <c r="Q17" s="35">
        <f t="shared" si="4"/>
        <v>0.0015527950310559007</v>
      </c>
      <c r="R17" s="14">
        <f>(400*3600/((70*B2)/100)/1000)</f>
        <v>178.88198757763973</v>
      </c>
      <c r="S17" s="35">
        <f t="shared" si="5"/>
        <v>0.0020703933747412005</v>
      </c>
      <c r="T17" s="14">
        <f>(500*3600/((70*B2)/100)/1000)</f>
        <v>223.60248447204967</v>
      </c>
      <c r="U17" s="35">
        <f t="shared" si="6"/>
        <v>0.0025879917184265006</v>
      </c>
      <c r="V17" s="14">
        <f>(600*3600/((70*B2)/100)/1000)</f>
        <v>268.32298136645966</v>
      </c>
      <c r="W17" s="35">
        <f t="shared" si="7"/>
        <v>0.0031055900621118015</v>
      </c>
      <c r="X17" s="14">
        <f>(800*3600/((70*B2)/100)/1000)</f>
        <v>357.76397515527947</v>
      </c>
      <c r="Y17" s="35">
        <f t="shared" si="8"/>
        <v>0.004140786749482401</v>
      </c>
      <c r="Z17" s="39">
        <f>(1000*3600/((70*B2)/100)/1000)</f>
        <v>447.20496894409933</v>
      </c>
      <c r="AA17" s="45">
        <f t="shared" si="9"/>
        <v>0.005175983436853001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5.75" thickBot="1">
      <c r="A18" s="51" t="s">
        <v>16</v>
      </c>
      <c r="B18" s="52"/>
      <c r="C18" s="53"/>
      <c r="D18" s="12">
        <f>(25*3600/((60*B2)/100)/1000)</f>
        <v>13.043478260869565</v>
      </c>
      <c r="E18" s="35">
        <f t="shared" si="10"/>
        <v>0.00015096618357487922</v>
      </c>
      <c r="F18" s="14">
        <f>(50*3600/((60*B2)/100)/1000)</f>
        <v>26.08695652173913</v>
      </c>
      <c r="G18" s="35">
        <f t="shared" si="10"/>
        <v>0.00030193236714975844</v>
      </c>
      <c r="H18" s="14">
        <f>(75*3600/((60*B2)/100)/1000)</f>
        <v>39.130434782608695</v>
      </c>
      <c r="I18" s="35">
        <f t="shared" si="0"/>
        <v>0.00045289855072463763</v>
      </c>
      <c r="J18" s="14">
        <f>(100*3600/((60*B2)/100)/1000)</f>
        <v>52.17391304347826</v>
      </c>
      <c r="K18" s="35">
        <f t="shared" si="1"/>
        <v>0.0006038647342995169</v>
      </c>
      <c r="L18" s="14">
        <f>(150*3600/((60*B2)/100)/1000)</f>
        <v>78.26086956521739</v>
      </c>
      <c r="M18" s="35">
        <f t="shared" si="2"/>
        <v>0.0009057971014492753</v>
      </c>
      <c r="N18" s="14">
        <f>(200*3600/((60*B2)/100)/1000)</f>
        <v>104.34782608695652</v>
      </c>
      <c r="O18" s="35">
        <f t="shared" si="3"/>
        <v>0.0012077294685990338</v>
      </c>
      <c r="P18" s="14">
        <f>(300*3600/((60*B2)/100)/1000)</f>
        <v>156.52173913043478</v>
      </c>
      <c r="Q18" s="35">
        <f t="shared" si="4"/>
        <v>0.0018115942028985505</v>
      </c>
      <c r="R18" s="14">
        <f>(400*3600/((60*B2)/100)/1000)</f>
        <v>208.69565217391303</v>
      </c>
      <c r="S18" s="35">
        <f t="shared" si="5"/>
        <v>0.0024154589371980675</v>
      </c>
      <c r="T18" s="14">
        <f>(500*3600/((60*B2)/100)/1000)</f>
        <v>260.8695652173913</v>
      </c>
      <c r="U18" s="35">
        <f t="shared" si="6"/>
        <v>0.0030193236714975845</v>
      </c>
      <c r="V18" s="14">
        <f>(600*3600/((60*B2)/100)/1000)</f>
        <v>313.04347826086956</v>
      </c>
      <c r="W18" s="35">
        <f t="shared" si="7"/>
        <v>0.003623188405797101</v>
      </c>
      <c r="X18" s="14">
        <f>(800*3600/((60*B2)/100)/1000)</f>
        <v>417.39130434782606</v>
      </c>
      <c r="Y18" s="35">
        <f t="shared" si="8"/>
        <v>0.004830917874396135</v>
      </c>
      <c r="Z18" s="39">
        <f>(1000*3600/((60*B2)/100)/1000)</f>
        <v>521.7391304347826</v>
      </c>
      <c r="AA18" s="45">
        <f t="shared" si="9"/>
        <v>0.006038647342995169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5.75" thickBot="1">
      <c r="A19" s="51" t="s">
        <v>17</v>
      </c>
      <c r="B19" s="52"/>
      <c r="C19" s="53"/>
      <c r="D19" s="17">
        <f>(25*3600/((50*B2)/100)/1000)</f>
        <v>15.652173913043478</v>
      </c>
      <c r="E19" s="36">
        <f t="shared" si="10"/>
        <v>0.00018115942028985507</v>
      </c>
      <c r="F19" s="18">
        <f>(50*3600/((50*B2)/100)/1000)</f>
        <v>31.304347826086957</v>
      </c>
      <c r="G19" s="36">
        <f t="shared" si="10"/>
        <v>0.00036231884057971015</v>
      </c>
      <c r="H19" s="18">
        <f>(75*3600/((50*B2)/100)/1000)</f>
        <v>46.95652173913043</v>
      </c>
      <c r="I19" s="36">
        <f t="shared" si="0"/>
        <v>0.0005434782608695651</v>
      </c>
      <c r="J19" s="18">
        <f>(100*3600/((50*B2)/100)/1000)</f>
        <v>62.608695652173914</v>
      </c>
      <c r="K19" s="36">
        <f t="shared" si="1"/>
        <v>0.0007246376811594203</v>
      </c>
      <c r="L19" s="18">
        <f>(150*3600/((50*B2)/100)/1000)</f>
        <v>93.91304347826086</v>
      </c>
      <c r="M19" s="36">
        <f t="shared" si="2"/>
        <v>0.0010869565217391302</v>
      </c>
      <c r="N19" s="18">
        <f>(200*3600/((50*B2)/100)/1000)</f>
        <v>125.21739130434783</v>
      </c>
      <c r="O19" s="36">
        <f t="shared" si="3"/>
        <v>0.0014492753623188406</v>
      </c>
      <c r="P19" s="18">
        <f>(300*3600/((50*B2)/100)/1000)</f>
        <v>187.82608695652172</v>
      </c>
      <c r="Q19" s="36">
        <f t="shared" si="4"/>
        <v>0.0021739130434782605</v>
      </c>
      <c r="R19" s="18">
        <f>(400*3600/((50*B2)/100)/1000)</f>
        <v>250.43478260869566</v>
      </c>
      <c r="S19" s="36">
        <f t="shared" si="5"/>
        <v>0.002898550724637681</v>
      </c>
      <c r="T19" s="18">
        <f>(500*3600/((50*B2)/100)/1000)</f>
        <v>313.04347826086956</v>
      </c>
      <c r="U19" s="36">
        <f t="shared" si="6"/>
        <v>0.003623188405797101</v>
      </c>
      <c r="V19" s="18">
        <f>(600*3600/((50*B2)/100)/1000)</f>
        <v>375.65217391304344</v>
      </c>
      <c r="W19" s="36">
        <f t="shared" si="7"/>
        <v>0.004347826086956521</v>
      </c>
      <c r="X19" s="18">
        <f>(800*3600/((50*B2)/100)/1000)</f>
        <v>500.8695652173913</v>
      </c>
      <c r="Y19" s="36">
        <f t="shared" si="8"/>
        <v>0.005797101449275362</v>
      </c>
      <c r="Z19" s="41">
        <f>(1000*3600/((50*B2)/100)/1000)</f>
        <v>626.0869565217391</v>
      </c>
      <c r="AA19" s="36">
        <f t="shared" si="9"/>
        <v>0.007246376811594202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ht="13.5" thickBot="1"/>
    <row r="21" spans="1:27" ht="16.5" thickBot="1">
      <c r="A21" s="59" t="s">
        <v>5</v>
      </c>
      <c r="B21" s="60"/>
      <c r="C21" s="61"/>
      <c r="D21" s="57" t="s">
        <v>43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42"/>
    </row>
    <row r="22" spans="1:27" ht="16.5" thickBot="1">
      <c r="A22" s="59"/>
      <c r="B22" s="60"/>
      <c r="C22" s="61"/>
      <c r="D22" s="5" t="s">
        <v>30</v>
      </c>
      <c r="E22" s="33"/>
      <c r="F22" s="6" t="s">
        <v>38</v>
      </c>
      <c r="G22" s="6"/>
      <c r="H22" s="6" t="s">
        <v>31</v>
      </c>
      <c r="I22" s="6"/>
      <c r="J22" s="6" t="s">
        <v>32</v>
      </c>
      <c r="K22" s="6"/>
      <c r="L22" s="6" t="s">
        <v>33</v>
      </c>
      <c r="M22" s="6"/>
      <c r="N22" s="6" t="s">
        <v>34</v>
      </c>
      <c r="O22" s="6"/>
      <c r="P22" s="6" t="s">
        <v>35</v>
      </c>
      <c r="Q22" s="6"/>
      <c r="R22" s="6" t="s">
        <v>36</v>
      </c>
      <c r="S22" s="6"/>
      <c r="T22" s="6" t="s">
        <v>37</v>
      </c>
      <c r="U22" s="6"/>
      <c r="V22" s="6" t="s">
        <v>39</v>
      </c>
      <c r="W22" s="6"/>
      <c r="X22" s="6" t="s">
        <v>40</v>
      </c>
      <c r="Y22" s="37"/>
      <c r="Z22" s="7" t="s">
        <v>41</v>
      </c>
      <c r="AA22" s="5"/>
    </row>
    <row r="23" spans="1:27" ht="15.75" thickBot="1">
      <c r="A23" s="51" t="s">
        <v>6</v>
      </c>
      <c r="B23" s="52"/>
      <c r="C23" s="53"/>
      <c r="D23" s="19">
        <f>(1200*60/((120*B2)/100)/1000)</f>
        <v>5.217391304347826</v>
      </c>
      <c r="E23" s="35">
        <f aca="true" t="shared" si="11" ref="E23:E34">SUM(D23*"0:0:01")</f>
        <v>6.038647342995169E-05</v>
      </c>
      <c r="F23" s="20">
        <f>(1500*60/((120*B2)/100)/1000)</f>
        <v>6.521739130434782</v>
      </c>
      <c r="G23" s="35">
        <f aca="true" t="shared" si="12" ref="G23:G34">SUM(F23*"0:0:01")</f>
        <v>7.548309178743961E-05</v>
      </c>
      <c r="H23" s="20">
        <f>(2000*60/((120*B2)/100)/1000)</f>
        <v>8.695652173913043</v>
      </c>
      <c r="I23" s="35">
        <f aca="true" t="shared" si="13" ref="I23:I34">SUM(H23*"0:0:01")</f>
        <v>0.0001006441223832528</v>
      </c>
      <c r="J23" s="20">
        <f>(3000*60/((120*B2)/100)/1000)</f>
        <v>13.043478260869565</v>
      </c>
      <c r="K23" s="35">
        <f aca="true" t="shared" si="14" ref="K23:K34">SUM(J23*"0:0:01")</f>
        <v>0.00015096618357487922</v>
      </c>
      <c r="L23" s="20">
        <f>(4000*60/((120*B2)/100)/1000)</f>
        <v>17.391304347826086</v>
      </c>
      <c r="M23" s="35">
        <f aca="true" t="shared" si="15" ref="M23:M34">SUM(L23*"0:0:01")</f>
        <v>0.0002012882447665056</v>
      </c>
      <c r="N23" s="20">
        <f>(5000*60/((120*B2)/100)/1000)</f>
        <v>21.73913043478261</v>
      </c>
      <c r="O23" s="35">
        <f aca="true" t="shared" si="16" ref="O23:O34">SUM(N23*"0:0:01")</f>
        <v>0.000251610305958132</v>
      </c>
      <c r="P23" s="21">
        <f>(6000*60/((120*B2)/100)/1000)</f>
        <v>26.08695652173913</v>
      </c>
      <c r="Q23" s="35">
        <f aca="true" t="shared" si="17" ref="Q23:Q34">SUM(P23*"0:0:01")</f>
        <v>0.00030193236714975844</v>
      </c>
      <c r="R23" s="21">
        <f>(8000*60/((120*B2)/100)/1000)</f>
        <v>34.78260869565217</v>
      </c>
      <c r="S23" s="35">
        <f aca="true" t="shared" si="18" ref="S23:S34">SUM(R23*"0:0:01")</f>
        <v>0.0004025764895330112</v>
      </c>
      <c r="T23" s="21">
        <f>(10000*60/((120*B2)/100)/1000)</f>
        <v>43.47826086956522</v>
      </c>
      <c r="U23" s="35">
        <f aca="true" t="shared" si="19" ref="U23:U34">SUM(T23*"0:0:01")</f>
        <v>0.000503220611916264</v>
      </c>
      <c r="V23" s="21">
        <f>(12000*60/((120*B2)/100)/1000)</f>
        <v>52.17391304347826</v>
      </c>
      <c r="W23" s="35">
        <f aca="true" t="shared" si="20" ref="W23:W34">SUM(V23*"0:0:01")</f>
        <v>0.0006038647342995169</v>
      </c>
      <c r="X23" s="21">
        <f>(15000*60/((120*B2)/100)/1000)</f>
        <v>65.21739130434783</v>
      </c>
      <c r="Y23" s="35">
        <f aca="true" t="shared" si="21" ref="Y23:Y34">SUM(X23*"0:0:01")</f>
        <v>0.0007548309178743961</v>
      </c>
      <c r="Z23" s="22">
        <f>(20000*60/((120*B2)/100)/1000)</f>
        <v>86.95652173913044</v>
      </c>
      <c r="AA23" s="35">
        <f aca="true" t="shared" si="22" ref="AA23:AA34">SUM(Z23*"0:0:01")</f>
        <v>0.001006441223832528</v>
      </c>
    </row>
    <row r="24" spans="1:27" ht="15.75" thickBot="1">
      <c r="A24" s="51" t="s">
        <v>7</v>
      </c>
      <c r="B24" s="52"/>
      <c r="C24" s="53"/>
      <c r="D24" s="23">
        <f>(1200*60/((110*B2)/100)/1000)</f>
        <v>5.691699604743083</v>
      </c>
      <c r="E24" s="35">
        <f t="shared" si="11"/>
        <v>6.587615283267457E-05</v>
      </c>
      <c r="F24" s="24">
        <f>(1500*60/((110*B2)/100)/1000)</f>
        <v>7.1146245059288535</v>
      </c>
      <c r="G24" s="35">
        <f t="shared" si="12"/>
        <v>8.23451910408432E-05</v>
      </c>
      <c r="H24" s="24">
        <f>(2000*60/((110*B2)/100)/1000)</f>
        <v>9.486166007905139</v>
      </c>
      <c r="I24" s="35">
        <f t="shared" si="13"/>
        <v>0.00010979358805445762</v>
      </c>
      <c r="J24" s="24">
        <f>(3000*60/((110*B2)/100)/1000)</f>
        <v>14.229249011857707</v>
      </c>
      <c r="K24" s="35">
        <f t="shared" si="14"/>
        <v>0.0001646903820816864</v>
      </c>
      <c r="L24" s="24">
        <f>(4000*60/((110*B2)/100)/1000)</f>
        <v>18.972332015810277</v>
      </c>
      <c r="M24" s="35">
        <f t="shared" si="15"/>
        <v>0.00021958717610891525</v>
      </c>
      <c r="N24" s="24">
        <f>(5000*60/((110*B2)/100)/1000)</f>
        <v>23.715415019762844</v>
      </c>
      <c r="O24" s="35">
        <f t="shared" si="16"/>
        <v>0.000274483970136144</v>
      </c>
      <c r="P24" s="14">
        <f>(6000*60/((110*B2)/100)/1000)</f>
        <v>28.458498023715414</v>
      </c>
      <c r="Q24" s="35">
        <f t="shared" si="17"/>
        <v>0.0003293807641633728</v>
      </c>
      <c r="R24" s="14">
        <f>(8000*60/((110*B2)/100)/1000)</f>
        <v>37.944664031620555</v>
      </c>
      <c r="S24" s="35">
        <f t="shared" si="18"/>
        <v>0.0004391743522178305</v>
      </c>
      <c r="T24" s="14">
        <f>(10000*60/((110*B2)/100)/1000)</f>
        <v>47.43083003952569</v>
      </c>
      <c r="U24" s="35">
        <f t="shared" si="19"/>
        <v>0.000548967940272288</v>
      </c>
      <c r="V24" s="14">
        <f>(12000*60/((110*B2)/100)/1000)</f>
        <v>56.91699604743083</v>
      </c>
      <c r="W24" s="35">
        <f t="shared" si="20"/>
        <v>0.0006587615283267456</v>
      </c>
      <c r="X24" s="14">
        <f>(15000*60/((110*B2)/100)/1000)</f>
        <v>71.14624505928853</v>
      </c>
      <c r="Y24" s="35">
        <f t="shared" si="21"/>
        <v>0.000823451910408432</v>
      </c>
      <c r="Z24" s="15">
        <f>(20000*60/((110*B2)/100)/1000)</f>
        <v>94.86166007905138</v>
      </c>
      <c r="AA24" s="35">
        <f t="shared" si="22"/>
        <v>0.001097935880544576</v>
      </c>
    </row>
    <row r="25" spans="1:27" ht="15.75" thickBot="1">
      <c r="A25" s="51" t="s">
        <v>8</v>
      </c>
      <c r="B25" s="52"/>
      <c r="C25" s="53"/>
      <c r="D25" s="23">
        <f>(1200*60/((105*B2)/100)/1000)</f>
        <v>5.962732919254659</v>
      </c>
      <c r="E25" s="35">
        <f t="shared" si="11"/>
        <v>6.901311249137337E-05</v>
      </c>
      <c r="F25" s="24">
        <f>(1500*60/((105*B2)/100)/1000)</f>
        <v>7.453416149068324</v>
      </c>
      <c r="G25" s="35">
        <f t="shared" si="12"/>
        <v>8.62663906142167E-05</v>
      </c>
      <c r="H25" s="24">
        <f>(2000*60/((105*B2)/100)/1000)</f>
        <v>9.937888198757765</v>
      </c>
      <c r="I25" s="35">
        <f t="shared" si="13"/>
        <v>0.00011502185415228895</v>
      </c>
      <c r="J25" s="24">
        <f>(3000*60/((105*B2)/100)/1000)</f>
        <v>14.906832298136647</v>
      </c>
      <c r="K25" s="35">
        <f t="shared" si="14"/>
        <v>0.0001725327812284334</v>
      </c>
      <c r="L25" s="24">
        <f>(4000*60/((105*B2)/100)/1000)</f>
        <v>19.87577639751553</v>
      </c>
      <c r="M25" s="35">
        <f t="shared" si="15"/>
        <v>0.0002300437083045779</v>
      </c>
      <c r="N25" s="24">
        <f>(5000*60/((105*B2)/100)/1000)</f>
        <v>24.84472049689441</v>
      </c>
      <c r="O25" s="35">
        <f t="shared" si="16"/>
        <v>0.00028755463538072235</v>
      </c>
      <c r="P25" s="14">
        <f>(6000*60/((105*B2)/100)/1000)</f>
        <v>29.813664596273295</v>
      </c>
      <c r="Q25" s="35">
        <f t="shared" si="17"/>
        <v>0.0003450655624568668</v>
      </c>
      <c r="R25" s="14">
        <f>(8000*60/((105*B2)/100)/1000)</f>
        <v>39.75155279503106</v>
      </c>
      <c r="S25" s="35">
        <f t="shared" si="18"/>
        <v>0.0004600874166091558</v>
      </c>
      <c r="T25" s="14">
        <f>(10000*60/((105*B2)/100)/1000)</f>
        <v>49.68944099378882</v>
      </c>
      <c r="U25" s="35">
        <f t="shared" si="19"/>
        <v>0.0005751092707614447</v>
      </c>
      <c r="V25" s="14">
        <f>(12000*60/((105*B2)/100)/1000)</f>
        <v>59.62732919254659</v>
      </c>
      <c r="W25" s="35">
        <f t="shared" si="20"/>
        <v>0.0006901311249137336</v>
      </c>
      <c r="X25" s="14">
        <f>(15000*60/((105*B2)/100)/1000)</f>
        <v>74.53416149068325</v>
      </c>
      <c r="Y25" s="35">
        <f t="shared" si="21"/>
        <v>0.0008626639061421671</v>
      </c>
      <c r="Z25" s="15">
        <f>(20000*60/((105*B2)/100)/1000)</f>
        <v>99.37888198757764</v>
      </c>
      <c r="AA25" s="35">
        <f t="shared" si="22"/>
        <v>0.0011502185415228894</v>
      </c>
    </row>
    <row r="26" spans="1:27" ht="15.75" thickBot="1">
      <c r="A26" s="51" t="s">
        <v>9</v>
      </c>
      <c r="B26" s="52"/>
      <c r="C26" s="53"/>
      <c r="D26" s="25">
        <f>(1200*60/((100*B2)/100)/1000)</f>
        <v>6.260869565217391</v>
      </c>
      <c r="E26" s="35">
        <f t="shared" si="11"/>
        <v>7.246376811594201E-05</v>
      </c>
      <c r="F26" s="14">
        <f>(1500*60/((100*B2)/100)/1000)</f>
        <v>7.826086956521739</v>
      </c>
      <c r="G26" s="35">
        <f t="shared" si="12"/>
        <v>9.057971014492754E-05</v>
      </c>
      <c r="H26" s="14">
        <f>(2000*60/((100*B2)/100)/1000)</f>
        <v>10.434782608695652</v>
      </c>
      <c r="I26" s="35">
        <f t="shared" si="13"/>
        <v>0.00012077294685990338</v>
      </c>
      <c r="J26" s="14">
        <f>(3000*60/((100*B2)/100)/1000)</f>
        <v>15.652173913043478</v>
      </c>
      <c r="K26" s="35">
        <f t="shared" si="14"/>
        <v>0.00018115942028985507</v>
      </c>
      <c r="L26" s="14">
        <f>(4000*60/((100*B2)/100)/1000)</f>
        <v>20.869565217391305</v>
      </c>
      <c r="M26" s="35">
        <f t="shared" si="15"/>
        <v>0.00024154589371980676</v>
      </c>
      <c r="N26" s="14">
        <f>(5000*60/((100*B2)/100)/1000)</f>
        <v>26.086956521739133</v>
      </c>
      <c r="O26" s="35">
        <f t="shared" si="16"/>
        <v>0.00030193236714975844</v>
      </c>
      <c r="P26" s="14">
        <f>(6000*60/((100*B2)/100)/1000)</f>
        <v>31.304347826086957</v>
      </c>
      <c r="Q26" s="35">
        <f t="shared" si="17"/>
        <v>0.00036231884057971015</v>
      </c>
      <c r="R26" s="14">
        <f>(8000*60/((100*B2)/100)/1000)</f>
        <v>41.73913043478261</v>
      </c>
      <c r="S26" s="35">
        <f t="shared" si="18"/>
        <v>0.0004830917874396135</v>
      </c>
      <c r="T26" s="14">
        <f>(10000*60/((100*B2)/100)/1000)</f>
        <v>52.173913043478265</v>
      </c>
      <c r="U26" s="35">
        <f t="shared" si="19"/>
        <v>0.0006038647342995169</v>
      </c>
      <c r="V26" s="14">
        <f>(12000*60/((100*B2)/100)/1000)</f>
        <v>62.608695652173914</v>
      </c>
      <c r="W26" s="35">
        <f t="shared" si="20"/>
        <v>0.0007246376811594203</v>
      </c>
      <c r="X26" s="14">
        <f>(15000*60/((100*B2)/100)/1000)</f>
        <v>78.26086956521739</v>
      </c>
      <c r="Y26" s="35">
        <f t="shared" si="21"/>
        <v>0.0009057971014492753</v>
      </c>
      <c r="Z26" s="15">
        <f>(20000*60/((100*B2)/100)/1000)</f>
        <v>104.34782608695653</v>
      </c>
      <c r="AA26" s="35">
        <f t="shared" si="22"/>
        <v>0.0012077294685990338</v>
      </c>
    </row>
    <row r="27" spans="1:27" ht="15.75" thickBot="1">
      <c r="A27" s="51" t="s">
        <v>10</v>
      </c>
      <c r="B27" s="52"/>
      <c r="C27" s="53"/>
      <c r="D27" s="26">
        <f>(1200*60/((95*B2)/100)/1000)</f>
        <v>6.590389016018307</v>
      </c>
      <c r="E27" s="43">
        <f t="shared" si="11"/>
        <v>7.627765064836003E-05</v>
      </c>
      <c r="F27" s="13">
        <f>(1500*60/((95*B2)/100)/1000)</f>
        <v>8.237986270022882</v>
      </c>
      <c r="G27" s="43">
        <f t="shared" si="12"/>
        <v>9.534706331045002E-05</v>
      </c>
      <c r="H27" s="14">
        <f>(2000*60/((95*B2)/100)/1000)</f>
        <v>10.983981693363843</v>
      </c>
      <c r="I27" s="35">
        <f t="shared" si="13"/>
        <v>0.0001271294177472667</v>
      </c>
      <c r="J27" s="14">
        <f>(3000*60/((95*B2)/100)/1000)</f>
        <v>16.475972540045763</v>
      </c>
      <c r="K27" s="35">
        <f t="shared" si="14"/>
        <v>0.00019069412662090003</v>
      </c>
      <c r="L27" s="14">
        <f>(4000*60/((95*B2)/100)/1000)</f>
        <v>21.967963386727686</v>
      </c>
      <c r="M27" s="35">
        <f t="shared" si="15"/>
        <v>0.0002542588354945334</v>
      </c>
      <c r="N27" s="14">
        <f>(5000*60/((95*B2)/100)/1000)</f>
        <v>27.459954233409608</v>
      </c>
      <c r="O27" s="35">
        <f t="shared" si="16"/>
        <v>0.00031782354436816676</v>
      </c>
      <c r="P27" s="14">
        <f>(6000*60/((95*B2)/100)/1000)</f>
        <v>32.95194508009153</v>
      </c>
      <c r="Q27" s="35">
        <f t="shared" si="17"/>
        <v>0.00038138825324180006</v>
      </c>
      <c r="R27" s="14">
        <f>(8000*60/((95*B2)/100)/1000)</f>
        <v>43.93592677345537</v>
      </c>
      <c r="S27" s="35">
        <f t="shared" si="18"/>
        <v>0.0005085176709890668</v>
      </c>
      <c r="T27" s="14">
        <f>(10000*60/((95*B2)/100)/1000)</f>
        <v>54.919908466819216</v>
      </c>
      <c r="U27" s="35">
        <f t="shared" si="19"/>
        <v>0.0006356470887363335</v>
      </c>
      <c r="V27" s="14">
        <f>(12000*60/((95*B2)/100)/1000)</f>
        <v>65.90389016018305</v>
      </c>
      <c r="W27" s="35">
        <f t="shared" si="20"/>
        <v>0.0007627765064836001</v>
      </c>
      <c r="X27" s="14">
        <f>(15000*60/((95*B2)/100)/1000)</f>
        <v>82.37986270022883</v>
      </c>
      <c r="Y27" s="35">
        <f t="shared" si="21"/>
        <v>0.0009534706331045002</v>
      </c>
      <c r="Z27" s="15">
        <f>(20000*60/((95*B2)/100)/1000)</f>
        <v>109.83981693363843</v>
      </c>
      <c r="AA27" s="35">
        <f t="shared" si="22"/>
        <v>0.001271294177472667</v>
      </c>
    </row>
    <row r="28" spans="1:27" ht="15.75" thickBot="1">
      <c r="A28" s="51" t="s">
        <v>11</v>
      </c>
      <c r="B28" s="52"/>
      <c r="C28" s="53"/>
      <c r="D28" s="26">
        <f>(1200*60/((90*B2)/100)/1000)</f>
        <v>6.956521739130435</v>
      </c>
      <c r="E28" s="43">
        <f t="shared" si="11"/>
        <v>8.051529790660224E-05</v>
      </c>
      <c r="F28" s="13">
        <f>(1500*60/((90*B2)/100)/1000)</f>
        <v>8.695652173913045</v>
      </c>
      <c r="G28" s="43">
        <f t="shared" si="12"/>
        <v>0.00010064412238325283</v>
      </c>
      <c r="H28" s="13">
        <f>(2000*60/((90*B2)/100)/1000)</f>
        <v>11.594202898550726</v>
      </c>
      <c r="I28" s="43">
        <f t="shared" si="13"/>
        <v>0.00013419216317767045</v>
      </c>
      <c r="J28" s="13">
        <f>(3000*60/((90*B2)/100)/1000)</f>
        <v>17.39130434782609</v>
      </c>
      <c r="K28" s="43">
        <f t="shared" si="14"/>
        <v>0.00020128824476650566</v>
      </c>
      <c r="L28" s="14">
        <f>(4000*60/((90*B2)/100)/1000)</f>
        <v>23.188405797101453</v>
      </c>
      <c r="M28" s="35">
        <f t="shared" si="15"/>
        <v>0.0002683843263553409</v>
      </c>
      <c r="N28" s="14">
        <f>(5000*60/((90*B2)/100)/1000)</f>
        <v>28.985507246376812</v>
      </c>
      <c r="O28" s="35">
        <f t="shared" si="16"/>
        <v>0.00033548040794417603</v>
      </c>
      <c r="P28" s="14">
        <f>(6000*60/((90*B2)/100)/1000)</f>
        <v>34.78260869565218</v>
      </c>
      <c r="Q28" s="35">
        <f t="shared" si="17"/>
        <v>0.0004025764895330113</v>
      </c>
      <c r="R28" s="14">
        <f>(8000*60/((90*B2)/100)/1000)</f>
        <v>46.376811594202906</v>
      </c>
      <c r="S28" s="35">
        <f t="shared" si="18"/>
        <v>0.0005367686527106818</v>
      </c>
      <c r="T28" s="14">
        <f>(10000*60/((90*B2)/100)/1000)</f>
        <v>57.971014492753625</v>
      </c>
      <c r="U28" s="35">
        <f t="shared" si="19"/>
        <v>0.0006709608158883521</v>
      </c>
      <c r="V28" s="14">
        <f>(12000*60/((90*B2)/100)/1000)</f>
        <v>69.56521739130436</v>
      </c>
      <c r="W28" s="35">
        <f t="shared" si="20"/>
        <v>0.0008051529790660227</v>
      </c>
      <c r="X28" s="14">
        <f>(15000*60/((90*B2)/100)/1000)</f>
        <v>86.95652173913044</v>
      </c>
      <c r="Y28" s="35">
        <f t="shared" si="21"/>
        <v>0.001006441223832528</v>
      </c>
      <c r="Z28" s="15">
        <f>(20000*60/((90*B2)/100)/1000)</f>
        <v>115.94202898550725</v>
      </c>
      <c r="AA28" s="35">
        <f t="shared" si="22"/>
        <v>0.0013419216317767041</v>
      </c>
    </row>
    <row r="29" spans="1:27" ht="15.75" thickBot="1">
      <c r="A29" s="51" t="s">
        <v>12</v>
      </c>
      <c r="B29" s="52"/>
      <c r="C29" s="53"/>
      <c r="D29" s="26">
        <f>(1200*60/((85*B2)/100)/1000)</f>
        <v>7.365728900255754</v>
      </c>
      <c r="E29" s="43">
        <f t="shared" si="11"/>
        <v>8.525149190110827E-05</v>
      </c>
      <c r="F29" s="13">
        <f>(1500*60/((85*B2)/100)/1000)</f>
        <v>9.207161125319693</v>
      </c>
      <c r="G29" s="43">
        <f t="shared" si="12"/>
        <v>0.00010656436487638534</v>
      </c>
      <c r="H29" s="13">
        <f>(2000*60/((85*B2)/100)/1000)</f>
        <v>12.27621483375959</v>
      </c>
      <c r="I29" s="43">
        <f t="shared" si="13"/>
        <v>0.00014208581983518045</v>
      </c>
      <c r="J29" s="13">
        <f>(3000*60/((85*B2)/100)/1000)</f>
        <v>18.414322250639387</v>
      </c>
      <c r="K29" s="43">
        <f t="shared" si="14"/>
        <v>0.00021312872975277067</v>
      </c>
      <c r="L29" s="13">
        <f>(4000*60/((85*B2)/100)/1000)</f>
        <v>24.55242966751918</v>
      </c>
      <c r="M29" s="43">
        <f t="shared" si="15"/>
        <v>0.0002841716396703609</v>
      </c>
      <c r="N29" s="13">
        <f>(5000*60/((85*B2)/100)/1000)</f>
        <v>30.690537084398976</v>
      </c>
      <c r="O29" s="43">
        <f t="shared" si="16"/>
        <v>0.00035521454958795107</v>
      </c>
      <c r="P29" s="24">
        <f>(6000*60/((85*B2)/100)/1000)</f>
        <v>36.828644501278774</v>
      </c>
      <c r="Q29" s="35">
        <f t="shared" si="17"/>
        <v>0.00042625745950554135</v>
      </c>
      <c r="R29" s="24">
        <f>(8000*60/((85*B2)/100)/1000)</f>
        <v>49.10485933503836</v>
      </c>
      <c r="S29" s="35">
        <f t="shared" si="18"/>
        <v>0.0005683432793407218</v>
      </c>
      <c r="T29" s="24">
        <f>(10000*60/((85*B2)/100)/1000)</f>
        <v>61.38107416879795</v>
      </c>
      <c r="U29" s="35">
        <f t="shared" si="19"/>
        <v>0.0007104290991759021</v>
      </c>
      <c r="V29" s="14">
        <f>(12000*60/((85*B2)/100)/1000)</f>
        <v>73.65728900255755</v>
      </c>
      <c r="W29" s="35">
        <f t="shared" si="20"/>
        <v>0.0008525149190110827</v>
      </c>
      <c r="X29" s="14">
        <f>(15000*60/((85*B2)/100)/1000)</f>
        <v>92.07161125319692</v>
      </c>
      <c r="Y29" s="35">
        <f t="shared" si="21"/>
        <v>0.0010656436487638532</v>
      </c>
      <c r="Z29" s="15">
        <f>(20000*60/((85*B2)/100)/1000)</f>
        <v>122.7621483375959</v>
      </c>
      <c r="AA29" s="35">
        <f t="shared" si="22"/>
        <v>0.0014208581983518043</v>
      </c>
    </row>
    <row r="30" spans="1:27" ht="15.75" thickBot="1">
      <c r="A30" s="51" t="s">
        <v>13</v>
      </c>
      <c r="B30" s="52"/>
      <c r="C30" s="53"/>
      <c r="D30" s="26">
        <f>(1200*60/((80*B2)/100)/1000)</f>
        <v>7.82608695652174</v>
      </c>
      <c r="E30" s="43">
        <f t="shared" si="11"/>
        <v>9.057971014492754E-05</v>
      </c>
      <c r="F30" s="13">
        <f>(1500*60/((80*B2)/100)/1000)</f>
        <v>9.782608695652174</v>
      </c>
      <c r="G30" s="43">
        <f t="shared" si="12"/>
        <v>0.00011322463768115941</v>
      </c>
      <c r="H30" s="13">
        <f>(2000*60/((80*B2)/100)/1000)</f>
        <v>13.043478260869566</v>
      </c>
      <c r="I30" s="43">
        <f t="shared" si="13"/>
        <v>0.00015096618357487922</v>
      </c>
      <c r="J30" s="13">
        <f>(3000*60/((80*B2)/100)/1000)</f>
        <v>19.565217391304348</v>
      </c>
      <c r="K30" s="43">
        <f t="shared" si="14"/>
        <v>0.00022644927536231882</v>
      </c>
      <c r="L30" s="13">
        <f>(4000*60/((80*B2)/100)/1000)</f>
        <v>26.086956521739133</v>
      </c>
      <c r="M30" s="43">
        <f t="shared" si="15"/>
        <v>0.00030193236714975844</v>
      </c>
      <c r="N30" s="13">
        <f>(5000*60/((80*B2)/100)/1000)</f>
        <v>32.608695652173914</v>
      </c>
      <c r="O30" s="43">
        <f t="shared" si="16"/>
        <v>0.00037741545893719806</v>
      </c>
      <c r="P30" s="13">
        <f>(6000*60/((80*B2)/100)/1000)</f>
        <v>39.130434782608695</v>
      </c>
      <c r="Q30" s="43">
        <f t="shared" si="17"/>
        <v>0.00045289855072463763</v>
      </c>
      <c r="R30" s="13">
        <f>(8000*60/((80*B2)/100)/1000)</f>
        <v>52.173913043478265</v>
      </c>
      <c r="S30" s="43">
        <f t="shared" si="18"/>
        <v>0.0006038647342995169</v>
      </c>
      <c r="T30" s="13">
        <f>(10000*60/((80*B2)/100)/1000)</f>
        <v>65.21739130434783</v>
      </c>
      <c r="U30" s="43">
        <f t="shared" si="19"/>
        <v>0.0007548309178743961</v>
      </c>
      <c r="V30" s="14">
        <f>(12000*60/((80*B2)/100)/1000)</f>
        <v>78.26086956521739</v>
      </c>
      <c r="W30" s="35">
        <f t="shared" si="20"/>
        <v>0.0009057971014492753</v>
      </c>
      <c r="X30" s="14">
        <f>(15000*60/((80*B2)/100)/1000)</f>
        <v>97.82608695652175</v>
      </c>
      <c r="Y30" s="35">
        <f t="shared" si="21"/>
        <v>0.0011322463768115942</v>
      </c>
      <c r="Z30" s="15">
        <f>(20000*60/((80*B2)/100)/1000)</f>
        <v>130.43478260869566</v>
      </c>
      <c r="AA30" s="35">
        <f t="shared" si="22"/>
        <v>0.0015096618357487923</v>
      </c>
    </row>
    <row r="31" spans="1:27" ht="15.75" thickBot="1">
      <c r="A31" s="51" t="s">
        <v>14</v>
      </c>
      <c r="B31" s="52"/>
      <c r="C31" s="53"/>
      <c r="D31" s="26">
        <f>(1200*60/((75*B2)/100)/1000)</f>
        <v>8.347826086956522</v>
      </c>
      <c r="E31" s="43">
        <f t="shared" si="11"/>
        <v>9.66183574879227E-05</v>
      </c>
      <c r="F31" s="13">
        <f>(1500*60/((75*B2)/100)/1000)</f>
        <v>10.434782608695652</v>
      </c>
      <c r="G31" s="43">
        <f t="shared" si="12"/>
        <v>0.00012077294685990338</v>
      </c>
      <c r="H31" s="13">
        <f>(2000*60/((75*B2)/100)/1000)</f>
        <v>13.91304347826087</v>
      </c>
      <c r="I31" s="43">
        <f t="shared" si="13"/>
        <v>0.0001610305958132045</v>
      </c>
      <c r="J31" s="13">
        <f>(3000*60/((75*B2)/100)/1000)</f>
        <v>20.869565217391305</v>
      </c>
      <c r="K31" s="43">
        <f t="shared" si="14"/>
        <v>0.00024154589371980676</v>
      </c>
      <c r="L31" s="13">
        <f>(4000*60/((75*B2)/100)/1000)</f>
        <v>27.82608695652174</v>
      </c>
      <c r="M31" s="43">
        <f t="shared" si="15"/>
        <v>0.000322061191626409</v>
      </c>
      <c r="N31" s="13">
        <f>(5000*60/((75*B2)/100)/1000)</f>
        <v>34.78260869565218</v>
      </c>
      <c r="O31" s="43">
        <f t="shared" si="16"/>
        <v>0.0004025764895330113</v>
      </c>
      <c r="P31" s="13">
        <f>(6000*60/((75*B2)/100)/1000)</f>
        <v>41.73913043478261</v>
      </c>
      <c r="Q31" s="43">
        <f t="shared" si="17"/>
        <v>0.0004830917874396135</v>
      </c>
      <c r="R31" s="13">
        <f>(8000*60/((75*B2)/100)/1000)</f>
        <v>55.65217391304348</v>
      </c>
      <c r="S31" s="43">
        <f t="shared" si="18"/>
        <v>0.000644122383252818</v>
      </c>
      <c r="T31" s="13">
        <f>(10000*60/((75*B2)/100)/1000)</f>
        <v>69.56521739130436</v>
      </c>
      <c r="U31" s="43">
        <f t="shared" si="19"/>
        <v>0.0008051529790660227</v>
      </c>
      <c r="V31" s="13">
        <f>(12000*60/((75*B2)/100)/1000)</f>
        <v>83.47826086956522</v>
      </c>
      <c r="W31" s="43">
        <f t="shared" si="20"/>
        <v>0.000966183574879227</v>
      </c>
      <c r="X31" s="13">
        <f>(15000*60/((75*B2)/100)/1000)</f>
        <v>104.34782608695653</v>
      </c>
      <c r="Y31" s="43">
        <f t="shared" si="21"/>
        <v>0.0012077294685990338</v>
      </c>
      <c r="Z31" s="15">
        <f>(20000*60/((75*B2)/100)/1000)</f>
        <v>139.13043478260872</v>
      </c>
      <c r="AA31" s="35">
        <f t="shared" si="22"/>
        <v>0.0016103059581320453</v>
      </c>
    </row>
    <row r="32" spans="1:27" ht="15.75" thickBot="1">
      <c r="A32" s="51" t="s">
        <v>15</v>
      </c>
      <c r="B32" s="52"/>
      <c r="C32" s="53"/>
      <c r="D32" s="25">
        <f>(1200*60/((70*B2)/100)/1000)</f>
        <v>8.944099378881987</v>
      </c>
      <c r="E32" s="35">
        <f t="shared" si="11"/>
        <v>0.00010351966873706003</v>
      </c>
      <c r="F32" s="13">
        <f>(1500*60/((70*B2)/100)/1000)</f>
        <v>11.180124223602483</v>
      </c>
      <c r="G32" s="43">
        <f t="shared" si="12"/>
        <v>0.00012939958592132503</v>
      </c>
      <c r="H32" s="13">
        <f>(2000*60/((70*B2)/100)/1000)</f>
        <v>14.906832298136646</v>
      </c>
      <c r="I32" s="43">
        <f t="shared" si="13"/>
        <v>0.00017253278122843338</v>
      </c>
      <c r="J32" s="13">
        <f>(3000*60/((70*B2)/100)/1000)</f>
        <v>22.360248447204967</v>
      </c>
      <c r="K32" s="43">
        <f t="shared" si="14"/>
        <v>0.00025879917184265007</v>
      </c>
      <c r="L32" s="13">
        <f>(4000*60/((70*B2)/100)/1000)</f>
        <v>29.81366459627329</v>
      </c>
      <c r="M32" s="43">
        <f t="shared" si="15"/>
        <v>0.00034506556245686676</v>
      </c>
      <c r="N32" s="13">
        <f>(5000*60/((70*B2)/100)/1000)</f>
        <v>37.267080745341616</v>
      </c>
      <c r="O32" s="43">
        <f t="shared" si="16"/>
        <v>0.0004313319530710835</v>
      </c>
      <c r="P32" s="13">
        <f>(6000*60/((70*B2)/100)/1000)</f>
        <v>44.72049689440993</v>
      </c>
      <c r="Q32" s="43">
        <f t="shared" si="17"/>
        <v>0.0005175983436853001</v>
      </c>
      <c r="R32" s="13">
        <f>(8000*60/((70*B2)/100)/1000)</f>
        <v>59.62732919254658</v>
      </c>
      <c r="S32" s="43">
        <f t="shared" si="18"/>
        <v>0.0006901311249137335</v>
      </c>
      <c r="T32" s="13">
        <f>(10000*60/((70*B2)/100)/1000)</f>
        <v>74.53416149068323</v>
      </c>
      <c r="U32" s="43">
        <f t="shared" si="19"/>
        <v>0.000862663906142167</v>
      </c>
      <c r="V32" s="13">
        <f>(12000*60/((70*B2)/100)/1000)</f>
        <v>89.44099378881987</v>
      </c>
      <c r="W32" s="43">
        <f t="shared" si="20"/>
        <v>0.0010351966873706003</v>
      </c>
      <c r="X32" s="13">
        <f>(15000*60/((70*B2)/100)/1000)</f>
        <v>111.80124223602483</v>
      </c>
      <c r="Y32" s="43">
        <f t="shared" si="21"/>
        <v>0.0012939958592132503</v>
      </c>
      <c r="Z32" s="16">
        <f>(20000*60/((70*B2)/100)/1000)</f>
        <v>149.06832298136646</v>
      </c>
      <c r="AA32" s="43">
        <f t="shared" si="22"/>
        <v>0.001725327812284334</v>
      </c>
    </row>
    <row r="33" spans="1:27" ht="15.75" thickBot="1">
      <c r="A33" s="51" t="s">
        <v>16</v>
      </c>
      <c r="B33" s="52"/>
      <c r="C33" s="53"/>
      <c r="D33" s="25">
        <f>(1200*60/((60*B2)/100)/1000)</f>
        <v>10.434782608695652</v>
      </c>
      <c r="E33" s="35">
        <f t="shared" si="11"/>
        <v>0.00012077294685990338</v>
      </c>
      <c r="F33" s="14">
        <f>(1500*60/((60*B2)/100)/1000)</f>
        <v>13.043478260869565</v>
      </c>
      <c r="G33" s="35">
        <f t="shared" si="12"/>
        <v>0.00015096618357487922</v>
      </c>
      <c r="H33" s="14">
        <f>(2000*60/((60*B2)/100)/1000)</f>
        <v>17.391304347826086</v>
      </c>
      <c r="I33" s="35">
        <f t="shared" si="13"/>
        <v>0.0002012882447665056</v>
      </c>
      <c r="J33" s="13">
        <f>(3000*60/((60*B2)/100)/1000)</f>
        <v>26.08695652173913</v>
      </c>
      <c r="K33" s="43">
        <f t="shared" si="14"/>
        <v>0.00030193236714975844</v>
      </c>
      <c r="L33" s="13">
        <f>(4000*60/((60*B2)/100)/1000)</f>
        <v>34.78260869565217</v>
      </c>
      <c r="M33" s="43">
        <f t="shared" si="15"/>
        <v>0.0004025764895330112</v>
      </c>
      <c r="N33" s="13">
        <f>(5000*60/((60*B2)/100)/1000)</f>
        <v>43.47826086956522</v>
      </c>
      <c r="O33" s="43">
        <f t="shared" si="16"/>
        <v>0.000503220611916264</v>
      </c>
      <c r="P33" s="13">
        <f>(6000*60/((60*B2)/100)/1000)</f>
        <v>52.17391304347826</v>
      </c>
      <c r="Q33" s="43">
        <f t="shared" si="17"/>
        <v>0.0006038647342995169</v>
      </c>
      <c r="R33" s="13">
        <f>(8000*60/((60*B2)/100)/1000)</f>
        <v>69.56521739130434</v>
      </c>
      <c r="S33" s="43">
        <f t="shared" si="18"/>
        <v>0.0008051529790660224</v>
      </c>
      <c r="T33" s="13">
        <f>(10000*60/((60*B2)/100)/1000)</f>
        <v>86.95652173913044</v>
      </c>
      <c r="U33" s="43">
        <f t="shared" si="19"/>
        <v>0.001006441223832528</v>
      </c>
      <c r="V33" s="13">
        <f>(12000*60/((60*B2)/100)/1000)</f>
        <v>104.34782608695652</v>
      </c>
      <c r="W33" s="43">
        <f t="shared" si="20"/>
        <v>0.0012077294685990338</v>
      </c>
      <c r="X33" s="13">
        <f>(15000*60/((60*B2)/100)/1000)</f>
        <v>130.43478260869566</v>
      </c>
      <c r="Y33" s="43">
        <f t="shared" si="21"/>
        <v>0.0015096618357487923</v>
      </c>
      <c r="Z33" s="16">
        <f>(20000*60/((60*B2)/100)/1000)</f>
        <v>173.91304347826087</v>
      </c>
      <c r="AA33" s="43">
        <f t="shared" si="22"/>
        <v>0.002012882447665056</v>
      </c>
    </row>
    <row r="34" spans="1:27" ht="15.75" thickBot="1">
      <c r="A34" s="51" t="s">
        <v>17</v>
      </c>
      <c r="B34" s="52"/>
      <c r="C34" s="53"/>
      <c r="D34" s="27">
        <f>(1200*60/((50*B2)/100)/1000)</f>
        <v>12.521739130434781</v>
      </c>
      <c r="E34" s="36">
        <f t="shared" si="11"/>
        <v>0.00014492753623188403</v>
      </c>
      <c r="F34" s="18">
        <f>(1500*60/((50*B2)/100)/1000)</f>
        <v>15.652173913043478</v>
      </c>
      <c r="G34" s="36">
        <f t="shared" si="12"/>
        <v>0.00018115942028985507</v>
      </c>
      <c r="H34" s="18">
        <f>(2000*60/((50*B2)/100)/1000)</f>
        <v>20.869565217391305</v>
      </c>
      <c r="I34" s="36">
        <f t="shared" si="13"/>
        <v>0.00024154589371980676</v>
      </c>
      <c r="J34" s="18">
        <f>(3000*60/((50*B2)/100)/1000)</f>
        <v>31.304347826086957</v>
      </c>
      <c r="K34" s="36">
        <f t="shared" si="14"/>
        <v>0.00036231884057971015</v>
      </c>
      <c r="L34" s="18">
        <f>(4000*60/((50*B2)/100)/1000)</f>
        <v>41.73913043478261</v>
      </c>
      <c r="M34" s="36">
        <f t="shared" si="15"/>
        <v>0.0004830917874396135</v>
      </c>
      <c r="N34" s="28">
        <f>(5000*60/((50*B2)/100)/1000)</f>
        <v>52.173913043478265</v>
      </c>
      <c r="O34" s="44">
        <f t="shared" si="16"/>
        <v>0.0006038647342995169</v>
      </c>
      <c r="P34" s="28">
        <f>(6000*60/((50*B2)/100)/1000)</f>
        <v>62.608695652173914</v>
      </c>
      <c r="Q34" s="44">
        <f t="shared" si="17"/>
        <v>0.0007246376811594203</v>
      </c>
      <c r="R34" s="28">
        <f>(8000*60/((50*B2)/100)/1000)</f>
        <v>83.47826086956522</v>
      </c>
      <c r="S34" s="44">
        <f t="shared" si="18"/>
        <v>0.000966183574879227</v>
      </c>
      <c r="T34" s="28">
        <f>(10000*60/((50*B2)/100)/1000)</f>
        <v>104.34782608695653</v>
      </c>
      <c r="U34" s="44">
        <f t="shared" si="19"/>
        <v>0.0012077294685990338</v>
      </c>
      <c r="V34" s="28">
        <f>(12000*60/((50*B2)/100)/1000)</f>
        <v>125.21739130434783</v>
      </c>
      <c r="W34" s="44">
        <f t="shared" si="20"/>
        <v>0.0014492753623188406</v>
      </c>
      <c r="X34" s="28">
        <f>(15000*60/((50*B2)/100)/1000)</f>
        <v>156.52173913043478</v>
      </c>
      <c r="Y34" s="44">
        <f t="shared" si="21"/>
        <v>0.0018115942028985505</v>
      </c>
      <c r="Z34" s="29">
        <f>(20000*60/((50*B2)/100)/1000)</f>
        <v>208.69565217391306</v>
      </c>
      <c r="AA34" s="44">
        <f t="shared" si="22"/>
        <v>0.0024154589371980675</v>
      </c>
    </row>
    <row r="39" spans="1:19" ht="18">
      <c r="A39" s="30"/>
      <c r="B39" s="30"/>
      <c r="C39" s="30"/>
      <c r="D39" s="30"/>
      <c r="E39" s="48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1" ht="12.75">
      <c r="E41" s="48"/>
    </row>
    <row r="42" ht="12.75">
      <c r="E42" s="48"/>
    </row>
    <row r="46" ht="12.75">
      <c r="E46" s="48"/>
    </row>
    <row r="48" ht="12.75">
      <c r="E48" s="48"/>
    </row>
    <row r="49" ht="12.75">
      <c r="E49" s="48"/>
    </row>
    <row r="53" ht="12.75">
      <c r="E53" s="48"/>
    </row>
    <row r="55" ht="12.75">
      <c r="E55" s="48"/>
    </row>
    <row r="56" ht="12.75">
      <c r="E56" s="49"/>
    </row>
    <row r="57" ht="13.5">
      <c r="E57" s="50"/>
    </row>
    <row r="58" ht="12.75">
      <c r="E58" s="48"/>
    </row>
    <row r="59" ht="12.75">
      <c r="E59" s="48"/>
    </row>
  </sheetData>
  <sheetProtection/>
  <mergeCells count="31">
    <mergeCell ref="D1:Z1"/>
    <mergeCell ref="D3:Z3"/>
    <mergeCell ref="B3:C3"/>
    <mergeCell ref="D21:Z21"/>
    <mergeCell ref="D6:Z6"/>
    <mergeCell ref="A21:C22"/>
    <mergeCell ref="A18:C18"/>
    <mergeCell ref="A19:C19"/>
    <mergeCell ref="A6:C7"/>
    <mergeCell ref="A14:C14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7:C17"/>
    <mergeCell ref="A10:C10"/>
    <mergeCell ref="A11:C11"/>
    <mergeCell ref="A12:C12"/>
    <mergeCell ref="A13:C13"/>
    <mergeCell ref="A8:C8"/>
    <mergeCell ref="A9:C9"/>
    <mergeCell ref="A15:C15"/>
    <mergeCell ref="A16:C16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3"/>
  <ignoredErrors>
    <ignoredError sqref="F9:F19 H9:H19 J9:J19 L8 J8 H8 F8 L9:L19 N8:N19 P8:P19 R8:R19 T8:T19 V8:V19 X8:X19 Z8:Z19 F23:F34 H23:H34 J23:J34 L23:L34 N23:N34 P23:P34 R23:R34 T23:T34 V23:V34 X23:X34 Z24:Z3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2007-03-09T22:05:07Z</cp:lastPrinted>
  <dcterms:created xsi:type="dcterms:W3CDTF">2007-03-08T19:34:35Z</dcterms:created>
  <dcterms:modified xsi:type="dcterms:W3CDTF">2016-12-08T20:56:50Z</dcterms:modified>
  <cp:category/>
  <cp:version/>
  <cp:contentType/>
  <cp:contentStatus/>
</cp:coreProperties>
</file>